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 Karten" sheetId="1" r:id="rId4"/>
    <sheet state="visible" name="2. Artworks" sheetId="2" r:id="rId5"/>
    <sheet state="visible" name="Statistik" sheetId="3" r:id="rId6"/>
    <sheet state="visible" name="McDonalds Promo Karten" sheetId="4" r:id="rId7"/>
    <sheet state="visible" name="Set 3 Ideen" sheetId="5" r:id="rId8"/>
    <sheet state="visible" name="Gemischte Tüte" sheetId="6" r:id="rId9"/>
  </sheets>
  <definedNames>
    <definedName hidden="1" localSheetId="0" name="_xlnm._FilterDatabase">'1. Karten'!$A$1:$J$988</definedName>
  </definedNames>
  <calcPr/>
</workbook>
</file>

<file path=xl/sharedStrings.xml><?xml version="1.0" encoding="utf-8"?>
<sst xmlns="http://schemas.openxmlformats.org/spreadsheetml/2006/main" count="3147" uniqueCount="1684">
  <si>
    <t>Name</t>
  </si>
  <si>
    <t>Realms</t>
  </si>
  <si>
    <t>Set</t>
  </si>
  <si>
    <t>Types</t>
  </si>
  <si>
    <t>Text</t>
  </si>
  <si>
    <t>Archetype</t>
  </si>
  <si>
    <t>Flavortext</t>
  </si>
  <si>
    <t>Power</t>
  </si>
  <si>
    <t>Costs</t>
  </si>
  <si>
    <t>Rarity</t>
  </si>
  <si>
    <t>CardID</t>
  </si>
  <si>
    <t>Elemental</t>
  </si>
  <si>
    <t>Nature</t>
  </si>
  <si>
    <t>Void</t>
  </si>
  <si>
    <t>Mortal</t>
  </si>
  <si>
    <t>Divine</t>
  </si>
  <si>
    <t>Cost_Sum</t>
  </si>
  <si>
    <t>Prompt</t>
  </si>
  <si>
    <t>Artwork 1</t>
  </si>
  <si>
    <t>Artwork 2</t>
  </si>
  <si>
    <t>Artwork 3</t>
  </si>
  <si>
    <t>Artwork 4</t>
  </si>
  <si>
    <t>Artwork 5</t>
  </si>
  <si>
    <t>Artwork 6</t>
  </si>
  <si>
    <t>Artwork 7</t>
  </si>
  <si>
    <t>Artwork 8</t>
  </si>
  <si>
    <t>Artwork 9</t>
  </si>
  <si>
    <t>Artwork 10</t>
  </si>
  <si>
    <t>Alabaster Exarch</t>
  </si>
  <si>
    <t>Angel</t>
  </si>
  <si>
    <t>Deploy: Cleanse all Units in this Lane.</t>
  </si>
  <si>
    <t xml:space="preserve">Purge the Dark. Leave behind purest light. </t>
  </si>
  <si>
    <t>D, D, ?, ?, ?</t>
  </si>
  <si>
    <t>Rare</t>
  </si>
  <si>
    <t>Alabaster Exarch, historical and mythical art style, colorful, angel, judging, pearl white, serene, white pearl skin, ceramical mask</t>
  </si>
  <si>
    <t>https://alpha.midjourney.com/jobs/7c7b4c53-2f2b-49df-a6bf-37f29b9e5746?index=3</t>
  </si>
  <si>
    <t>https://alpha.midjourney.com/jobs/db52578b-cf61-4cc6-b730-21e3bd1752ce?index=3</t>
  </si>
  <si>
    <t>Aethergolem</t>
  </si>
  <si>
    <t>Construct Wizard</t>
  </si>
  <si>
    <t>Ascend: Construct.</t>
  </si>
  <si>
    <t>Ascend</t>
  </si>
  <si>
    <t>D</t>
  </si>
  <si>
    <t>Common</t>
  </si>
  <si>
    <t>Ascendant Faithweaver</t>
  </si>
  <si>
    <t>Human</t>
  </si>
  <si>
    <t>Ascend: Divine. When this ascends, glimpse 2.</t>
  </si>
  <si>
    <t>Dream Traveler</t>
  </si>
  <si>
    <t>Deploy: Gain Ward. Crystallize: You may return a friendly Unit to your Hand.</t>
  </si>
  <si>
    <t>Bounce</t>
  </si>
  <si>
    <t>D, ?, ?</t>
  </si>
  <si>
    <t>Uncommon</t>
  </si>
  <si>
    <t>Dream traveler, historical and mythical art style, colorful, angel, mystical, unreal, dreamlike, semi transparent, weightless</t>
  </si>
  <si>
    <t>https://alpha.midjourney.com/jobs/1ae58892-c0c7-4cd2-b4f2-61e436a76acb?index=0</t>
  </si>
  <si>
    <t>Thunderswarm Pegasus</t>
  </si>
  <si>
    <t>Angel Animal</t>
  </si>
  <si>
    <t>When the Thunderswarm march, even the skies make way.</t>
  </si>
  <si>
    <t>D, ?, ?, ?</t>
  </si>
  <si>
    <t>thunderswarm pegasus, historical and mythical art style, hafling horse, burning mane, burning hooves, black, gold, ancient norse, at night</t>
  </si>
  <si>
    <t>https://alpha.midjourney.com/jobs/2892cac4-ecfc-4b4f-a4e9-1eb61a4971a8?index=3</t>
  </si>
  <si>
    <t>Baby Lamassu</t>
  </si>
  <si>
    <t>Angel Construct</t>
  </si>
  <si>
    <t>Deploy: Gain Taunt. Crystallize: This and a friendly Crystal gain Crystalborn.</t>
  </si>
  <si>
    <t>Though young in form, its spirit carries the weight of mystical skies and the innocence of cherished memories</t>
  </si>
  <si>
    <t>D, D, ?</t>
  </si>
  <si>
    <t>lamassu, cute baby, made of living stone, lion head, winged, cow like, small, historical and mythical art style, colorful, cute, adorable</t>
  </si>
  <si>
    <t>https://alpha.midjourney.com/jobs/b1e88fda-7d3b-4302-b0b0-4eee0012e193?index=1</t>
  </si>
  <si>
    <t>Chronosand Sphinx</t>
  </si>
  <si>
    <t>Crystallize: Gain Crystalborn. Deploy: Every Player may return one of their Crystals to their Hand.</t>
  </si>
  <si>
    <t>Its gaze stretches into tomorrow, trapping foes in a slow dance of dwindling chances.</t>
  </si>
  <si>
    <t>D, D, ?, ?, ?, ?</t>
  </si>
  <si>
    <t>chronosand sphinx, leaning on a huge hourglass, blue glow, time magic, large, wise, thoughtful, sandstone creature, made of stone, historical and mythical art style, colorful</t>
  </si>
  <si>
    <t>https://alpha.midjourney.com/jobs/8c6c5803-34bd-4238-bf4b-5436f269949d?index=3</t>
  </si>
  <si>
    <t>Thunderswarm Skirmisher</t>
  </si>
  <si>
    <t>Angel Hunter</t>
  </si>
  <si>
    <t>Deploy: Gain Ward. Gain +3 Power if there is an adjacent Demon or Warrior.</t>
  </si>
  <si>
    <t>Clad in celestial armor, his battle cry echoes like thunder, a fearsome herald of the skies' wrath.</t>
  </si>
  <si>
    <t>thunderswarm skirmisher, historical and mythical art style, angel warrior, black, gold, ancient norse, at night, flying, throwing spear</t>
  </si>
  <si>
    <t>https://alpha.midjourney.com/jobs/1352ae1c-e93b-4eeb-9c2b-8d45efc47f38?index=0</t>
  </si>
  <si>
    <t>https://alpha.midjourney.com/jobs/e58d0ede-21d0-4b9c-87b3-4745b329f97d?index=0</t>
  </si>
  <si>
    <t>Crusader of the Desert Winds</t>
  </si>
  <si>
    <t>Crusader Spirit Warrior</t>
  </si>
  <si>
    <t>Deploy: Gains +1 Power for each adjacent enemy Unit of a different Realm.</t>
  </si>
  <si>
    <t>Drawing might from each new foe, his power echoes the desert's vastness.</t>
  </si>
  <si>
    <t>Oasis Sprite</t>
  </si>
  <si>
    <t>Angel Plant</t>
  </si>
  <si>
    <t>Crystallize: Gain Crystalborn. Deploy: Draw a Card.</t>
  </si>
  <si>
    <t>From her touch, the desert blooms and weary travelers find respite.</t>
  </si>
  <si>
    <t>D, D, ?, ?</t>
  </si>
  <si>
    <t>ancient egyptian oasis plant angel with palm tree wings, historical and mythical art style, colorful, sitting on a chiseled sandstone block at a pond, lush and green palm trees in background, calm, meditating</t>
  </si>
  <si>
    <t>https://alpha.midjourney.com/jobs/16fb7678-58aa-43f4-976c-6411d373341c?index=1</t>
  </si>
  <si>
    <t>Guardian Angel</t>
  </si>
  <si>
    <t>Deploy: Gain Ward. Start of your Turn: You may bury this to unearth a friendly Unit. It gains Ward.</t>
  </si>
  <si>
    <t>Silent sentry of the skies, shielding the innocent with unseen wings.</t>
  </si>
  <si>
    <t>Ivoryscar Cursewing</t>
  </si>
  <si>
    <t>Crystallize: Draw the top Angel of your Deck. Shuffle your Deck. Put a Card from your Hand under your Deck.</t>
  </si>
  <si>
    <t xml:space="preserve">His tainted feathers guide seekers to the forbidden knowledge that one can only find in the equilibrium of extremes. </t>
  </si>
  <si>
    <t>Ivoryscar Magistrate</t>
  </si>
  <si>
    <t>Angel Warrior</t>
  </si>
  <si>
    <t>Start of your Turn: You may bury a friendly Angel Unit to bury an adjacent enemy Unit.</t>
  </si>
  <si>
    <t>The gavel strikes with the weight of lost souls, his justice as dark as the void.</t>
  </si>
  <si>
    <t>Harmonic Echo</t>
  </si>
  <si>
    <t>Angel Spirit</t>
  </si>
  <si>
    <t>Ally of Angel: This and an adjacent friendly Unit gain Ward and +1 Power.</t>
  </si>
  <si>
    <t>In its wake, a symphony lingers, resonating with the pulse of the divine.</t>
  </si>
  <si>
    <t>harmonic echo, historical and mythical art style, serene, peaceful, calm, happy, angel playing harp, ancient greek</t>
  </si>
  <si>
    <t>https://alpha.midjourney.com/jobs/2fb88f6b-7b37-40f3-9ddf-e46da64b9024?index=2</t>
  </si>
  <si>
    <t>Kylix of Excess</t>
  </si>
  <si>
    <t>Construct Demon</t>
  </si>
  <si>
    <t xml:space="preserve">Ascend: Void. Crystallize: Gain Crystalborn. When this ascends, draw two Cards. </t>
  </si>
  <si>
    <t>Ascend, Artifact</t>
  </si>
  <si>
    <t>Monolith of Meditation</t>
  </si>
  <si>
    <t>Deploy and Conquer: Cleanse a Unit in this Lane.</t>
  </si>
  <si>
    <t>Unmoving and serene, it stands as a testament to the quiet power of thought over turmoil.</t>
  </si>
  <si>
    <t>D, ?, ?, ?, ?, ?</t>
  </si>
  <si>
    <t>Avenging Force</t>
  </si>
  <si>
    <t>Conquer: Each Player buries one of their Units in the conquered Lane.</t>
  </si>
  <si>
    <t>There is no mercy for the damned.</t>
  </si>
  <si>
    <t>Avenging force, historical and mythical art style, colorful, angel, armored, warlike, red wings, calling down a beam of heavenly light from his hand</t>
  </si>
  <si>
    <t>https://alpha.midjourney.com/jobs/22993c97-4c0e-4b20-b61e-0765854b1d0c?index=2</t>
  </si>
  <si>
    <t>Doma Angel</t>
  </si>
  <si>
    <t>In her shadow, destiny is sealed.</t>
  </si>
  <si>
    <t>D, ?</t>
  </si>
  <si>
    <t>https://alpha.midjourney.com/jobs/e10bf9b3-3d4a-458c-b4e9-595c4cddd9bf?index=0</t>
  </si>
  <si>
    <t>https://alpha.midjourney.com/jobs/bf2b9797-ca47-418b-8b51-f73b166d794e?index=0</t>
  </si>
  <si>
    <t>Pyramidion</t>
  </si>
  <si>
    <t>Construct</t>
  </si>
  <si>
    <t>Whenever a friendly Construct is deployed adjacently, all friendly Construct Units in this Lane gain +1 Power.</t>
  </si>
  <si>
    <t>Remote</t>
  </si>
  <si>
    <t>Solarsteel Prodigy</t>
  </si>
  <si>
    <t>Ascend: Construct or Warrior or Angel. Deploy: Gain +2 Power.</t>
  </si>
  <si>
    <t>Diviner of Fates</t>
  </si>
  <si>
    <t>Angel Wizard</t>
  </si>
  <si>
    <t>Deploy: Gain Ward. You may move an adjacent enemy Unit.</t>
  </si>
  <si>
    <t>Even the fate of gods is nothing but a game when you can see the future.</t>
  </si>
  <si>
    <t>Diviner of fates, female, wearing temple garbs, ancient egyptian, historical and mythical art style, colorful, angel, pondering two magical orbs, mysticism, surrounded by colorful fog, in deep thought</t>
  </si>
  <si>
    <t>https://alpha.midjourney.com/jobs/9b1cd3ba-f0fb-43df-a5df-aa0555f184e0?index=0</t>
  </si>
  <si>
    <t>https://alpha.midjourney.com/jobs/7e6524d5-fc47-4a64-ac87-5ec5a5ddad4c?index=1</t>
  </si>
  <si>
    <t>https://alpha.midjourney.com/jobs/7e6524d5-fc47-4a64-ac87-5ec5a5ddad4c?index=3</t>
  </si>
  <si>
    <t>Dove of Serenity</t>
  </si>
  <si>
    <t>Animal</t>
  </si>
  <si>
    <t>Whenever a friendly Divine Unit is deployed adjacently, gain +2 Power.</t>
  </si>
  <si>
    <t>Wherever it flutters, peace is sure to follow.</t>
  </si>
  <si>
    <t>peace dove, historical and mythical art style, colorful, blue sky, calm</t>
  </si>
  <si>
    <t>https://alpha.midjourney.com/jobs/bd138556-f391-44ec-ab68-5aa4b5a9f606?index=1</t>
  </si>
  <si>
    <t>Starforger</t>
  </si>
  <si>
    <t>Crystallize: Gain Crystalborn. Glimpse for each friendly Angel Crystal. Deploy: Draw a Card for each friendly Construct Crystal.</t>
  </si>
  <si>
    <t>His ambition is boundless, aiming to capture the essence of perfection in the canvas of the night sky.</t>
  </si>
  <si>
    <t>D, D, D, ?, ?, ?, ?</t>
  </si>
  <si>
    <t>Scripture Monkey</t>
  </si>
  <si>
    <t>Deploy: Choose one: - Gain +1 Power for each Card in your Hand. - Glimpse 2, then draw a Card.</t>
  </si>
  <si>
    <t>Ancient texts become playthings, yet through its eyes, the profound and playful are one.</t>
  </si>
  <si>
    <t>scripture monkey, historical and mythical art style, monkey writing in an ancient tome</t>
  </si>
  <si>
    <t>https://alpha.midjourney.com/jobs/3321903a-a303-44ee-8b5d-3487bd693fa9?index=3</t>
  </si>
  <si>
    <t>The Kitty of Thamiel</t>
  </si>
  <si>
    <t>Animal Spirit</t>
  </si>
  <si>
    <t>Deploy: If you have 12 or fewer Cards your Deck, gain +4 Power and draw a Card.</t>
  </si>
  <si>
    <t>Deck</t>
  </si>
  <si>
    <t>Feline Ushabti</t>
  </si>
  <si>
    <t>Animal Construct</t>
  </si>
  <si>
    <t>Crystallize: You may bury this to glimpse 2.</t>
  </si>
  <si>
    <t>In the moonlight, both statue and predator come to life.</t>
  </si>
  <si>
    <t>feline ushabti, historical and mythical art style, iceblue glowing eyes, little sandstone statue of a cat, ancient egyptian, mystical, magical</t>
  </si>
  <si>
    <t>https://alpha.midjourney.com/jobs/7b73514c-612c-4f7a-b7b0-8d03ff687646?index=1</t>
  </si>
  <si>
    <t>Ibis Ushabti</t>
  </si>
  <si>
    <t>Crystallize: You may bury this to draw a Card.</t>
  </si>
  <si>
    <t>Crafted in reverence, it bridges the realms of past pharaohs and present souls.</t>
  </si>
  <si>
    <t>ibis ushabti, historical and mythical art style, iceblue glowing eyes, little sandstone statue of an ibis, ancient egyptian, mystical, magical</t>
  </si>
  <si>
    <t>https://alpha.midjourney.com/jobs/10569df3-af61-474e-9997-08b1211eac4b?index=3</t>
  </si>
  <si>
    <t>Sekhem Chariot</t>
  </si>
  <si>
    <t>Deploy: If an adjacent enemy Unit has 2 or less Power, draw a Card.</t>
  </si>
  <si>
    <t>In the presence of the weak, its wheels spin faster, echoing the merciless pace of the desert sun.</t>
  </si>
  <si>
    <t>sekhem chariot, historical and mythical art style, ancient egyptian war chariot, undead horse, mummy</t>
  </si>
  <si>
    <t>https://alpha.midjourney.com/jobs/a6b9796b-edf3-4af3-9ed5-c8182508947e?index=1</t>
  </si>
  <si>
    <t>Towering Obelisk of Xi</t>
  </si>
  <si>
    <t>Ascend: Construct. When this ascends, all friendly Units with Ascend gain +2 Power.</t>
  </si>
  <si>
    <t>Winged Ushabti</t>
  </si>
  <si>
    <t>Construct Insect</t>
  </si>
  <si>
    <t>Crystallize: This Turn, you may bury this to give a friendly Unit Ascend.</t>
  </si>
  <si>
    <t>Found more insect statuettes, remarkably detailed. Purpose? Unknown, but likely venerating ancient, lost species.</t>
  </si>
  <si>
    <t>Yellow Crusader</t>
  </si>
  <si>
    <t>Crusader, Warrior</t>
  </si>
  <si>
    <t>Whenever an enemy Unit of a different Realm is deployed adjacently, gain +1 Power.</t>
  </si>
  <si>
    <t>Marked by divine fervor, he fights not for glory but obedience. The celestial demands a weight he cannot shed.</t>
  </si>
  <si>
    <t>Young Monk</t>
  </si>
  <si>
    <t>Deploy: Choose one: - Gain Ascend. - Draw a Card.</t>
  </si>
  <si>
    <t>From trials, we reach the heavens.</t>
  </si>
  <si>
    <t>Golden Phoenix</t>
  </si>
  <si>
    <t>Divine Elemental</t>
  </si>
  <si>
    <t>Start of your Turn: You may bury a friendly Crystal to draw a Card.</t>
  </si>
  <si>
    <t>Each rebirth a brilliant flame, it embodies the cycle of life's undying light.</t>
  </si>
  <si>
    <t>D, D, E, E, ?</t>
  </si>
  <si>
    <t>Hailstorm Seraph</t>
  </si>
  <si>
    <t>Deploy: Unleash &lt;E&gt;&lt;E&gt;: Draw Cards until you have 3 Cards in your Hand.</t>
  </si>
  <si>
    <t>With each beat of her wings, a blizzard is born, cloaking the land in a shroud of white.</t>
  </si>
  <si>
    <t>Scittering Scorpion</t>
  </si>
  <si>
    <t>Animal Hunter</t>
  </si>
  <si>
    <t>Ambush: This Turn, a Unit was deployed in this Lane. Unearth: You may unearth an adjacent Unit.</t>
  </si>
  <si>
    <t>The deserter sought refuge in the solitude of the sands, only to find himself the quarry of a malevolence as ancient as the dunes.</t>
  </si>
  <si>
    <t>D, E, ?, ?, ?</t>
  </si>
  <si>
    <t>Thunderswarm Lightning Rider</t>
  </si>
  <si>
    <t>Deploy: Gain Ward. Gain +1 Power for each other Spirit in this Lane.</t>
  </si>
  <si>
    <t>She is the conduit between realms, her wings beating in the rhythm of thunder. Each bolt of lightning, a spirit's final descent, a luminous tribute to lives once lived.</t>
  </si>
  <si>
    <t>Embalmed Apophis</t>
  </si>
  <si>
    <t>Animal Undead</t>
  </si>
  <si>
    <t>Ambush: Your Opponent conquered this Lane this Turn.</t>
  </si>
  <si>
    <t>Roused from ageless dreams, its bindings frayed but its purpose unyielding.</t>
  </si>
  <si>
    <t>D, D, D, ?, ?, ?</t>
  </si>
  <si>
    <t>embalmed Apophis, historical and mythical art style, in bandages, wrapped in bandages, decayed, mummy, ancient egyptian, undead snake</t>
  </si>
  <si>
    <t>https://alpha.midjourney.com/jobs/13499ec2-9a5a-4595-9ccd-fbcfe0fffeaf?index=0</t>
  </si>
  <si>
    <t>Cryptosphinx</t>
  </si>
  <si>
    <t>Crystallize: Gain Crystalborn.</t>
  </si>
  <si>
    <t>To seek its counsel is to risk eternity in stone, trapped in a puzzle with no end.</t>
  </si>
  <si>
    <t>crypto sphinx, keeper of riddles and mysteries, purple glow, mind magic, large, wise, thoughtful, sandstone creature, made of stone, historical and mythical art style, colorful</t>
  </si>
  <si>
    <t>https://alpha.midjourney.com/jobs/250e747b-c7e8-4a5b-a483-65446cd307aa?index=2</t>
  </si>
  <si>
    <t>Guardian of the Gates</t>
  </si>
  <si>
    <t>Ally of Construct: All friendly Construct Units gain +1 Power.</t>
  </si>
  <si>
    <t>Dumb-Dumb, give Gum-Gum!</t>
  </si>
  <si>
    <t>guardian of the gates, green glowing eyes, historical and mythical art style, sandstone statue, ancient egyptian, golem guarding the gate of a city</t>
  </si>
  <si>
    <t>https://alpha.midjourney.com/jobs/13533eea-4c56-4787-a8d1-5b5de4d2fe40?index=0</t>
  </si>
  <si>
    <t>Desertwind Relic Hunter</t>
  </si>
  <si>
    <t>Divine Mortal</t>
  </si>
  <si>
    <t>Human Hunter</t>
  </si>
  <si>
    <t>Deploy: Unearth a Crystal to give a friendly Unit in this Lane +3 Power.</t>
  </si>
  <si>
    <t>Beneath the sun's relentless gaze, he realized: some powers were buried for a reason, their containment not loss, but salvation.</t>
  </si>
  <si>
    <t>D, M, ?, ?, ?</t>
  </si>
  <si>
    <t>Maze Master Sphinx</t>
  </si>
  <si>
    <t>Deploy: Crystallize the top Construct of your Deck. Shuffle your deck.</t>
  </si>
  <si>
    <t>Guardian of ancient secrets, it diverts its endless watch with games woven from wisdom and whimsy.</t>
  </si>
  <si>
    <t>maze master sphinx, historical and mythical art style, greenish-blue glowing eyes, sandstone sphinx, ancient egyptian, mystical, magical, in a maze, wise, huge blocks of sandstone levitating around sphinx, ancient age</t>
  </si>
  <si>
    <t>https://alpha.midjourney.com/jobs/9ccceaff-97a6-4625-9bea-6567b85c04ef?index=0</t>
  </si>
  <si>
    <t>Exemplar of Lunar Gleam</t>
  </si>
  <si>
    <t>Spirit Warrior</t>
  </si>
  <si>
    <t>Start of your Turn: You may bury this to draw the top Mortal Card and the top Divine Card from your Deck. Shuffle your Deck.</t>
  </si>
  <si>
    <t>A spectral figure in the pale moonlight, his silent claim to the throne is as enigmatic as the night itself</t>
  </si>
  <si>
    <t>D, M, ?</t>
  </si>
  <si>
    <t>Shattercrown Luminary</t>
  </si>
  <si>
    <t>Deploy: Glimpse 3. You may reveal the top Card of your Deck. If it's a Common Card, draw it.</t>
  </si>
  <si>
    <t>From the humblest depths, she reveals unseen potential.</t>
  </si>
  <si>
    <t>D, M, ?, ?</t>
  </si>
  <si>
    <t>Herald of Eternal Grace</t>
  </si>
  <si>
    <t>Crystallize: Unleash &lt;D&gt;&lt;D&gt;&lt;D&gt;: Cleanse a Unit or give a Unit Ward.</t>
  </si>
  <si>
    <t>????????</t>
  </si>
  <si>
    <t>Shepard of the Morning Dew</t>
  </si>
  <si>
    <t>Deploy: Gain Taunt. If you are trailing in Lanes, a friendly Human Unit in this Lane gains +3 Power.</t>
  </si>
  <si>
    <t>Humans, so small yet so vast in spirit, their survival against all odds a testament to their enduring hope. Almost inspiring, in a way.</t>
  </si>
  <si>
    <t>Mystic Puzzle Box</t>
  </si>
  <si>
    <t>Crystallize: Draw a Card for each other friendly Construct Crystal.</t>
  </si>
  <si>
    <t>An enigmatic artifact that ensnares curiosity, rewarding those who unravel its secrets with forbidden knowledge.</t>
  </si>
  <si>
    <t>D, D, ?, ?, ?, ?, ?</t>
  </si>
  <si>
    <t>mystic puzzle box, historical and mythical art style, hazy fog, sandstone, ancient egyptian, mystical, magical, brass, bronze, ancient age, floating in room</t>
  </si>
  <si>
    <t>https://alpha.midjourney.com/jobs/0cf0be47-c57f-4feb-84e6-1790219ba54b?index=0</t>
  </si>
  <si>
    <t>Blackmarble Gargoyle</t>
  </si>
  <si>
    <t>Construct Dragon</t>
  </si>
  <si>
    <t>Deploy: Gain Taunt.</t>
  </si>
  <si>
    <t>Birthed from obsidian skies, this divine Beast hungers not for reverence, but for blood.</t>
  </si>
  <si>
    <t>black marble gargoyle, snaking around a large tower, large, threatening, dragonic, stone creature, made of living stone, historical and mythical art style, colorful</t>
  </si>
  <si>
    <t>https://alpha.midjourney.com/jobs/a408d92c-6e6e-4d30-93ad-e526a5c9555f?index=3</t>
  </si>
  <si>
    <t>Wrath of the Pharaoh</t>
  </si>
  <si>
    <t>Construct Spirit</t>
  </si>
  <si>
    <t>From ancient tombs, a fury rises; even kings have their reckoning.</t>
  </si>
  <si>
    <t>sand dune with eyes, living sand dune, amorphous, glowing eyes, rising from the desert, sandstorm--no fire human humanoid</t>
  </si>
  <si>
    <t>https://alpha.midjourney.com/jobs/557ea44c-dc30-4519-93c0-96caf2f97815?index=3</t>
  </si>
  <si>
    <t>Damaged Automaton</t>
  </si>
  <si>
    <t>Construct Undead</t>
  </si>
  <si>
    <t>Deploy: Gain Ward.</t>
  </si>
  <si>
    <t>Though battered and bruised, even in decay it serves a purpose.</t>
  </si>
  <si>
    <t>damaged automaton, peaceful, falling apart, sitting in ancient egyptian workshop, using tools, trying to repair itself, ancient mechanical being, sandstone creature, made of stone, historical and mythical art style, colorful</t>
  </si>
  <si>
    <t>https://alpha.midjourney.com/jobs/3644d9f4-a154-4538-96ea-489d6da10cda?index=2</t>
  </si>
  <si>
    <t>Swiftblade Revenger</t>
  </si>
  <si>
    <t>Whenever an enemy Unit is deployed adjacently, you may move this.</t>
  </si>
  <si>
    <t>With twin blades dancing like lightning, her vengeance is as swift as it is deadly.</t>
  </si>
  <si>
    <t>Tranquil Herd Gem Titan</t>
  </si>
  <si>
    <t>Construct Warrior</t>
  </si>
  <si>
    <t>Deploy: All friendly Divine Units in this Lane gain Ward.</t>
  </si>
  <si>
    <t>Beside him lay a gemstone charm, its arrival as mysterious as the energy it exuded. Puzzled, he held it, feeling an inexplicable sense of safety.</t>
  </si>
  <si>
    <t>tranquil herd gem titan, historical and mythical art style, giant crystal golem, enormous, towering</t>
  </si>
  <si>
    <t>https://alpha.midjourney.com/jobs/ed7547f6-59f6-4674-8e51-448f70e1a062?index=1</t>
  </si>
  <si>
    <t>Arboreal Messenger</t>
  </si>
  <si>
    <t>Divine Nature</t>
  </si>
  <si>
    <t>Ally of Angel or Plant: Draw a Card and gain +2 Power.</t>
  </si>
  <si>
    <t>In my slumber, the forest whispered to me, weaving itself into my essence. When I opened my eyes again, I had become more.</t>
  </si>
  <si>
    <t>D, N, ?</t>
  </si>
  <si>
    <t>Auric Ant Regent</t>
  </si>
  <si>
    <t>Insect Wizard</t>
  </si>
  <si>
    <t>Deploy: Gain Taunt. You may return an adjacent friendly Insect Unit to your Hand to gain Power equal to its Power.</t>
  </si>
  <si>
    <t>Insects, Bounce</t>
  </si>
  <si>
    <t>D, N, N, ?, ?, ?</t>
  </si>
  <si>
    <t>Obelisk Waypost</t>
  </si>
  <si>
    <t>Construct Plant</t>
  </si>
  <si>
    <t>Start of your Turn: You may bury this to glimpse 2, to crystallize the top Card of your Deck and to draw a Card.</t>
  </si>
  <si>
    <t>Without a guide, the desert is a death sentence.</t>
  </si>
  <si>
    <t>D, N, ?, ?, ?</t>
  </si>
  <si>
    <t>Hallowed Exorcist</t>
  </si>
  <si>
    <t>Deploy: Cleanse an adjacent Unit.</t>
  </si>
  <si>
    <t>His chants echo, a cleansing force against the encroaching darkness.</t>
  </si>
  <si>
    <t>hallowed excorcist, historical and mythical art style, iceblue glowing eyes, summoning incantation, desperate, surrounded by swirling shadows</t>
  </si>
  <si>
    <t>https://alpha.midjourney.com/jobs/fb9ad282-f768-4726-b79b-f40c11d0277b?index=3</t>
  </si>
  <si>
    <t>The Ascended One</t>
  </si>
  <si>
    <t>Construct Dinosaur</t>
  </si>
  <si>
    <t>Crystallize: Gain Crystalborn. A friendly Unit gains Ascend this Turn.</t>
  </si>
  <si>
    <t>D, D, N, N, ?, ?</t>
  </si>
  <si>
    <t>Tranquil Herd Rubyskull</t>
  </si>
  <si>
    <t>Dinosaur</t>
  </si>
  <si>
    <t>Crystallize: Gain Crystalborn. Unleash &lt;D&gt;&lt;D&gt; or &lt;N&gt;&lt;N&gt;: Crystallize the top Card of your Deck.</t>
  </si>
  <si>
    <t>Unleash</t>
  </si>
  <si>
    <t>Cryptroach</t>
  </si>
  <si>
    <t>Insect Undead</t>
  </si>
  <si>
    <t>Ambush: Your Opponent conquers this Lane. Unearth: Swap the positions of this and another Unit.</t>
  </si>
  <si>
    <t>Its tunnels were once used by ancient kings and pharaohs to guard their eternal rest.</t>
  </si>
  <si>
    <t>crypt roach, insect, animal, climbing up wall, pest, skittering, ancient egyptian, undead, lapislazuli plated</t>
  </si>
  <si>
    <t>https://alpha.midjourney.com/jobs/b6b028b1-6920-4dde-9694-73d589c7969e?index=1</t>
  </si>
  <si>
    <t>Blackwing Usurper</t>
  </si>
  <si>
    <t>Divine Void</t>
  </si>
  <si>
    <t>Deploy: Gain Taunt. Ritual: Gain 3 Power. Ritual: Draw a Card.</t>
  </si>
  <si>
    <t>With a noble's grace and a traitor's heart, he delves into the depths of celestial betrayal.</t>
  </si>
  <si>
    <t>D, V, V, ?, ?</t>
  </si>
  <si>
    <t>Ivoryscar Fatebreaker</t>
  </si>
  <si>
    <t>Spirit</t>
  </si>
  <si>
    <t>Deploy: Gain Ward. Choose one: - Cleanse an adjacent Unit. - Return an adjacent Unit to its Owner's Hand.</t>
  </si>
  <si>
    <t>My mission is one of compassion. I exist to end the agony of the mortally stricken, by guard or by gentle release.</t>
  </si>
  <si>
    <t>D, D, V, V, ?, ?</t>
  </si>
  <si>
    <t>Pharaoh's Bodyguard</t>
  </si>
  <si>
    <t>Undead Warrior</t>
  </si>
  <si>
    <t>Ally of Divine: Gain Taunt.</t>
  </si>
  <si>
    <t>He laid down his life once; now he stands guard forever.</t>
  </si>
  <si>
    <t>Pharao's bodyguard, historical and mythical art style, ancient egyptian, heavily armored elite guard mummy warrior, ancient age, lapislazuli deathmask, wrapped in bandages, holding a khopesh</t>
  </si>
  <si>
    <t>https://alpha.midjourney.com/jobs/4e1424fd-a4dd-430d-b5db-da68488eb78a?index=0</t>
  </si>
  <si>
    <t>Thunderswarm Celestial</t>
  </si>
  <si>
    <t>Angel Bannerbearer Warrior</t>
  </si>
  <si>
    <t>Whenever he flaps his wings, muted thunder rumbles, and soft arcs of electricity dance around his form.</t>
  </si>
  <si>
    <t>D, E</t>
  </si>
  <si>
    <t>thunderswarm celestial, norse angel, broad shoulders, red beard, from the front</t>
  </si>
  <si>
    <t>https://alpha.midjourney.com/jobs/496903ec-9e29-4e96-baed-fbc1c72e67a2?index=3</t>
  </si>
  <si>
    <t>Airstep Sifu</t>
  </si>
  <si>
    <t>Ally of Spirit: Draw a Card and gain +2 Power.</t>
  </si>
  <si>
    <t>With every step, a choice: draw from the well of knowledge or the wellspring of power.</t>
  </si>
  <si>
    <t>E, ?, ?</t>
  </si>
  <si>
    <t>The Second Wing</t>
  </si>
  <si>
    <t>Angel Dragon</t>
  </si>
  <si>
    <t>Deploy: Each Player shuffles their Hand into the Deck and draws that many Cards.</t>
  </si>
  <si>
    <t>When all seems lost, it descends, a majestic force reviving spirits and rewriting destinies.</t>
  </si>
  <si>
    <t>D, D, E, ?, ?</t>
  </si>
  <si>
    <t>four wings, nordic dragon, antlers, gleaming white, glowing corona, ephemeral dragon, feathered wings, white scales, majestic, clinging to a spire high over a roman city, sun rising behind him</t>
  </si>
  <si>
    <t>https://alpha.midjourney.com/jobs/f92d2267-2cb6-459f-b8f4-07c280426a32?index=2</t>
  </si>
  <si>
    <t>Arcanum Grandmaster</t>
  </si>
  <si>
    <t>Human Wizard</t>
  </si>
  <si>
    <t>Deploy: Gains +2 Power for each other friendly Wizard Unit.</t>
  </si>
  <si>
    <t>Under his watchful eye, talent flourishes; he is the guiding force behind a century of magical mastery.</t>
  </si>
  <si>
    <t>E, ?, ?, ?, ?</t>
  </si>
  <si>
    <t>Auraborne Wyvern</t>
  </si>
  <si>
    <t>Dragon</t>
  </si>
  <si>
    <t>Deploy: Unleash &lt;E&gt;&lt;E&gt;&lt;E&gt;: Gain Ward and glimpse 2.</t>
  </si>
  <si>
    <t>Turns out, the key to air superiority was just a few enchantments and one very grumpy wyvern.</t>
  </si>
  <si>
    <t>Blazecharm Kitsune</t>
  </si>
  <si>
    <t>Deploy: Move the top Card of your Opponent's Deck into an adjacent Slot and bury it (Deploy effects of that card are not triggered).</t>
  </si>
  <si>
    <t>With each flick of its tails, a new spark ignites, kindling mystic fires in the hearts of the brave.</t>
  </si>
  <si>
    <t>E</t>
  </si>
  <si>
    <t>Crimson Flamechick</t>
  </si>
  <si>
    <t>When this gets buried, bury an adjacent enemy Unit.</t>
  </si>
  <si>
    <t>A spark today, an inferno tomorrow; its flame never extinguished, merely reborn.</t>
  </si>
  <si>
    <t>crimson flamechick, tiny cute little phoenix, burning wings, small bird, tiny bird--no fire human humanoid</t>
  </si>
  <si>
    <t>https://alpha.midjourney.com/jobs/0867635b-b993-4e89-adc9-840fac5e98ae?index=2</t>
  </si>
  <si>
    <t>Boiling Blood Berserker</t>
  </si>
  <si>
    <t>Human Warrior</t>
  </si>
  <si>
    <t>Deploy: Gain Fear. Ascend: Dragon.</t>
  </si>
  <si>
    <t>His battle cry, a dragon's fury given voice.</t>
  </si>
  <si>
    <t>Diamond Phantom</t>
  </si>
  <si>
    <t>Spirit Undead</t>
  </si>
  <si>
    <t>Crystallize: Gain Crystalborn. Deploy: You may crystallize an adjacent friendly Unit and deploy a friendly Spirit Crystal in that Slot.</t>
  </si>
  <si>
    <t>In its ethereal form, the laws of existence bend, a testament to the enigmatic origins of the Shards of Beyond.</t>
  </si>
  <si>
    <t>E, E, ?</t>
  </si>
  <si>
    <t>Moonspear Paladin</t>
  </si>
  <si>
    <t>Bannerbearer Spirit Warrior</t>
  </si>
  <si>
    <t>A stalwart knight with divine blessings, who draws strength and guidance from the moon.</t>
  </si>
  <si>
    <t>D, M</t>
  </si>
  <si>
    <t>moonspear paladin, pull plate armor, blue glazed armor, full helmet, glowing mist rising from armor joints, mystic, mysterious, in snowed in ruins of an old chapel, evening, golden hour, spear, tower-shield</t>
  </si>
  <si>
    <t>https://alpha.midjourney.com/jobs/4b963210-17ec-4cc9-9a83-f38a7692af0e?index=3</t>
  </si>
  <si>
    <t>Glowing Gearhulk</t>
  </si>
  <si>
    <t>Deploy: Gain Taunt. Crystallize: If your Opponent conquered a Lane last Turn, you may deploy this.</t>
  </si>
  <si>
    <t>??? Deploy from not-hand ???</t>
  </si>
  <si>
    <t>M, M, ?, ?, ?</t>
  </si>
  <si>
    <t>glowing gearhulk, medieval warmech, mecha, war machine, blue glazed armor, big claws, glowing mist rising from armor joints, mystic, mysterious, in snowed in ruins of an old cathedral, evening, golden hour</t>
  </si>
  <si>
    <t>https://alpha.midjourney.com/jobs/4efd2e1b-a113-49a0-8b09-a71768bc7f0a?index=1</t>
  </si>
  <si>
    <t>Moon Priestess</t>
  </si>
  <si>
    <t>Deploy: Choose one: - Cleanse a Unit in this Lane. - Unearth a Unit in this Lane and give it +2 Power.</t>
  </si>
  <si>
    <t>Bathed in moonlight, her healing touch mends more than flesh; it soothes the soul.</t>
  </si>
  <si>
    <t>ancient greek moon priestess--no fire human humanoid</t>
  </si>
  <si>
    <t>https://alpha.midjourney.com/jobs/fe304cba-fe68-4bea-a089-694d2e71a394?index=2</t>
  </si>
  <si>
    <t>Draconic Highpriest</t>
  </si>
  <si>
    <t>Dragon Wizard</t>
  </si>
  <si>
    <t>Deploy: You may bury a friendly Dragon Unit to bury an enemy Unit with Power equal to or lower than that Dragon.</t>
  </si>
  <si>
    <t>He weaves spells of domination, his draconic thralls a fearsome testament to the power of corrupted will.</t>
  </si>
  <si>
    <t>E, E, ?, ?</t>
  </si>
  <si>
    <t>Sunblessed Crocodile</t>
  </si>
  <si>
    <t>Animal Dinosaur</t>
  </si>
  <si>
    <t>Crystallize: Gain Crystalborn. Deploy: Gains +1 Power for each friendly Crystal.</t>
  </si>
  <si>
    <t>Though tempered by the ages, his radiant might remains unbridled; a true testament of enduring power.</t>
  </si>
  <si>
    <t>D, D, N, N, ?</t>
  </si>
  <si>
    <t>sunblessed crocodile, white scales, desert, ancient egyptian, golden armor, animal, on all fours, sunbasking, green palmtrees, aggressive</t>
  </si>
  <si>
    <t>https://alpha.midjourney.com/jobs/85566897-5ef8-42df-8c72-36628a9dd9fc?index=1</t>
  </si>
  <si>
    <t>Echo Beetle</t>
  </si>
  <si>
    <t>Whenever a Unit is deployed adjacently, swap it with that Unit.</t>
  </si>
  <si>
    <t>Note: Observing the beetle, I feel observed in return. Its awareness hints at unseen depths in insect cognition.</t>
  </si>
  <si>
    <t>E, ?</t>
  </si>
  <si>
    <t>Goat Oracle</t>
  </si>
  <si>
    <t>Animal Wizard</t>
  </si>
  <si>
    <t>Deploy: Glimpse equal to the number of Realms of friendly Crystals.</t>
  </si>
  <si>
    <t>Oracle of many realms, seer of countless fates, yet inexplicably unsettled by the mere thought of turtles.</t>
  </si>
  <si>
    <t>D, N, ?, ?</t>
  </si>
  <si>
    <t>ancient greek goat oracle, animal, on all fours</t>
  </si>
  <si>
    <t>https://alpha.midjourney.com/jobs/96dd861b-6cf4-403c-b701-35339b8bf72c?index=0</t>
  </si>
  <si>
    <t>Tranquil Herd Sagehorn</t>
  </si>
  <si>
    <t>Bannerbearer Dinosaur Wizard</t>
  </si>
  <si>
    <t>From ancient lands and Crystalline veins, this wise behemoth channels the arcane.</t>
  </si>
  <si>
    <t>D, N</t>
  </si>
  <si>
    <t>Tranquil Herd Sagehorn, old dinosaur, wise, banner bearer</t>
  </si>
  <si>
    <t>https://alpha.midjourney.com/jobs/eb74e363-ce23-4333-bf1a-9e45b5410528?index=3</t>
  </si>
  <si>
    <t>https://alpha.midjourney.com/jobs/ae7c802d-5bb3-4e5c-935f-0989f835981b?index=3</t>
  </si>
  <si>
    <t>https://alpha.midjourney.com/jobs/d2520d33-6384-48e1-a0ac-2b40bcba9c67?index=2</t>
  </si>
  <si>
    <t>Fallen Angel</t>
  </si>
  <si>
    <t>Deploy: Gain Ward. Ally of Void: +4 Power. Ally of Divine: +4 Power.</t>
  </si>
  <si>
    <t>Cast from heaven, embraced by the void, her power surges where light and darkness intertwine.</t>
  </si>
  <si>
    <t>D, D, V, V, ?, ?, ?</t>
  </si>
  <si>
    <t>Fallen Angel, female, otherwordly glow, red and black wings, pale, red glowing eyes, white hair, black armor, corrupted, bloodrust, shadowy maelstrom in background</t>
  </si>
  <si>
    <t>https://alpha.midjourney.com/jobs/65856a62-0cc5-4789-aeaa-4499b714d3e5?index=0</t>
  </si>
  <si>
    <t>https://alpha.midjourney.com/jobs/9062fc96-38af-4b94-bb8b-58724ee3e784?index=3</t>
  </si>
  <si>
    <t>https://alpha.midjourney.com/jobs/f0b193a4-3e5e-45a0-b6e9-a1b7fcfb4f49?index=2</t>
  </si>
  <si>
    <t>https://alpha.midjourney.com/jobs/2593ed6f-b67a-4e7f-a8f9-a36157ed8f86?index=1</t>
  </si>
  <si>
    <t>https://alpha.midjourney.com/jobs/bce13b19-a5b7-4895-991c-a343e7295bea?index=2</t>
  </si>
  <si>
    <t>https://alpha.midjourney.com/jobs/0852a4f6-c4cd-4d01-a719-8673b0ba2f74?index=1</t>
  </si>
  <si>
    <t>https://alpha.midjourney.com/jobs/d19499fa-993e-4909-94ee-2b9c8761e795?index=1</t>
  </si>
  <si>
    <t>https://alpha.midjourney.com/jobs/93adb4ae-5796-400d-8a5b-0445ab93be6c?index=3</t>
  </si>
  <si>
    <t>https://alpha.midjourney.com/jobs/cd0a04f4-a1cb-40f4-910e-eb46d3902255?index=0</t>
  </si>
  <si>
    <t>https://alpha.midjourney.com/jobs/02764ac5-6b69-4645-b186-6ada5c5faed8?index=3</t>
  </si>
  <si>
    <t>Ivoryscar Eclipsion</t>
  </si>
  <si>
    <t>Angel Bannerbearer Demon</t>
  </si>
  <si>
    <t>Where light meets shadow, purity clashes with malice, she stands, the ethereal balance of two worlds.</t>
  </si>
  <si>
    <t>D, V</t>
  </si>
  <si>
    <t>eclipsion, duality, female, sad, otherwordly glow, black wings, pale skin, white gloves, white hair, black skirt, white corset, shadowy maelstrom in background</t>
  </si>
  <si>
    <t>https://alpha.midjourney.com/jobs/219392dd-7217-4d08-88a4-07fe545e4e60?index=0</t>
  </si>
  <si>
    <t>https://alpha.midjourney.com/jobs/faebf78e-524b-4699-86cf-5a06ec2912c9?index=0</t>
  </si>
  <si>
    <t>https://alpha.midjourney.com/jobs/ff5ef09d-ca5a-4078-8295-e865d3f5ef86?index=1</t>
  </si>
  <si>
    <t>https://alpha.midjourney.com/jobs/903c649b-d0e0-4b79-8d43-b2091e120243?index=3</t>
  </si>
  <si>
    <t>https://alpha.midjourney.com/jobs/903c649b-d0e0-4b79-8d43-b2091e120243?index=0</t>
  </si>
  <si>
    <t>https://alpha.midjourney.com/jobs/68687551-a06f-4550-bc88-6c49a58ac029?index=2</t>
  </si>
  <si>
    <t>https://alpha.midjourney.com/jobs/ff5ef09d-ca5a-4078-8295-e865d3f5ef86?index=3</t>
  </si>
  <si>
    <t>https://alpha.midjourney.com/jobs/804192d1-d6b1-471f-8286-b2c1ae535674?index=3</t>
  </si>
  <si>
    <t>https://alpha.midjourney.com/jobs/c2526578-9eb7-4bfc-b6cd-0f981333543c?index=1</t>
  </si>
  <si>
    <t>https://alpha.midjourney.com/jobs/12474128-0863-4da2-aff8-997b73fe9878?index=3</t>
  </si>
  <si>
    <t>Ember Whelp</t>
  </si>
  <si>
    <t>Dragon Spirit</t>
  </si>
  <si>
    <t>Ascend: Dragon or Spirit. Deploy: Unleash &lt;E&gt;&lt;E&gt;&lt;E&gt;: Gain +3 Power.</t>
  </si>
  <si>
    <t>Log #21: The whelp's playmates are not of flesh and scale but of spirit and air. It frolics with entities invisible to our eyes, a curious talent.</t>
  </si>
  <si>
    <t>Floating Djinn</t>
  </si>
  <si>
    <t>Start of your Turn: You may bury this to draw a Card.</t>
  </si>
  <si>
    <t>Charged with storm's fury, he dances between thunder and lightning's embrace.</t>
  </si>
  <si>
    <t>Kois of Duality</t>
  </si>
  <si>
    <t>Deploy: Choose one: - Adjacent friendly Void Units gain +2 Power. - Adjacent friendly Divine Units gain +2 Power.</t>
  </si>
  <si>
    <t>Swimming through the celestial rift, it harmonizes the contrasting forces of divinity and abyss.</t>
  </si>
  <si>
    <t>D, V, ?</t>
  </si>
  <si>
    <t>kois of duality,two kois swimming in a circle, shaped like ying and yang, shadowy maelstrom in background</t>
  </si>
  <si>
    <t>https://alpha.midjourney.com/jobs/e799950f-85b6-4223-b8ea-bc9ef93d3c23?index=1</t>
  </si>
  <si>
    <t>https://alpha.midjourney.com/jobs/957a1f61-1c1b-4a33-82ab-c17bcc78d8f9?index=1</t>
  </si>
  <si>
    <t>https://alpha.midjourney.com/jobs/957a1f61-1c1b-4a33-82ab-c17bcc78d8f9?index=0</t>
  </si>
  <si>
    <t>https://alpha.midjourney.com/jobs/a05bda9e-586e-49de-8c32-0f6e47fd8831?index=2</t>
  </si>
  <si>
    <t>https://alpha.midjourney.com/jobs/011a319f-3ec2-43a4-ae07-e31e88bbcfcf?index=2</t>
  </si>
  <si>
    <t>https://alpha.midjourney.com/jobs/34302934-0ce2-4d12-9b6b-bcbfb2dd2748?index=0</t>
  </si>
  <si>
    <t>https://alpha.midjourney.com/jobs/7515835a-18c0-492f-95bd-2b1b2539a4df?index=1</t>
  </si>
  <si>
    <t>Hermit of the Horizon</t>
  </si>
  <si>
    <t>Wizard</t>
  </si>
  <si>
    <t>Crystallize: If you control a Wizard Unit, glimpse 3.</t>
  </si>
  <si>
    <t>In his lofty retreat, he communes with the winds of fate, a guardian of knowledge perched at the edge of the world.</t>
  </si>
  <si>
    <t>E, ?, ?, ?, ?, ?</t>
  </si>
  <si>
    <t>Mirrorworld Bloodseeker</t>
  </si>
  <si>
    <t>Demon Spirit</t>
  </si>
  <si>
    <t>Crystallize: Unleash &lt;V&gt;&lt;V&gt;&lt;V&gt;: Deploy this in an empty Slot. Deploy: Gain Taunt.</t>
  </si>
  <si>
    <t>Mountain Sage</t>
  </si>
  <si>
    <t>Plant Wizard</t>
  </si>
  <si>
    <t>Deploy: Draw the top Wizard of your Deck. Shuffle your Deck.</t>
  </si>
  <si>
    <t>Rooted in ancient wisdom and the earth's deep secrets, his knowledge is as vast as the mountains he embodies.</t>
  </si>
  <si>
    <t>Vermillion Firebird</t>
  </si>
  <si>
    <t>When this gets buried, you may bury a friendly Crystal to unearth this.</t>
  </si>
  <si>
    <t>In its mystical flight, neither blade nor spell can quench its eternal fire.</t>
  </si>
  <si>
    <t>E, E, E, ?, ?</t>
  </si>
  <si>
    <t>vermillion firebird, aflame, on fire</t>
  </si>
  <si>
    <t>https://alpha.midjourney.com/jobs/855584b6-ff81-449c-bfc8-776b89e2e1b6?index=2</t>
  </si>
  <si>
    <t>https://alpha.midjourney.com/jobs/855584b6-ff81-449c-bfc8-776b89e2e1b6?index=3</t>
  </si>
  <si>
    <t>https://alpha.midjourney.com/jobs/8267de13-464b-4475-8b89-635cac0d70bd?index=0</t>
  </si>
  <si>
    <t>https://alpha.midjourney.com/jobs/855584b6-ff81-449c-bfc8-776b89e2e1b6?index=0</t>
  </si>
  <si>
    <t>https://alpha.midjourney.com/jobs/ce13cd47-a205-4d28-96b0-bdf906fae89f?index=0</t>
  </si>
  <si>
    <t>https://alpha.midjourney.com/jobs/a18746cf-975e-483a-9c0c-94c134cf6af2?index=3</t>
  </si>
  <si>
    <t>https://alpha.midjourney.com/jobs/a18746cf-975e-483a-9c0c-94c134cf6af2?index=1</t>
  </si>
  <si>
    <t>Nimbus Claw</t>
  </si>
  <si>
    <t>Conquer: Glimpse 3.</t>
  </si>
  <si>
    <t>Lead</t>
  </si>
  <si>
    <t>Spell Cat</t>
  </si>
  <si>
    <t>Whenever a friendly Wizard is deployed adjacently, swap this with that Unit and give that Unit +2 Power.</t>
  </si>
  <si>
    <t>Even a sorcerer's cold heart can't escape the affection of a black furball.</t>
  </si>
  <si>
    <t>spell cat, wizard cat sitting infront of a burning bookcase, magical cat, eyes reflecting fire</t>
  </si>
  <si>
    <t>https://alpha.midjourney.com/jobs/23c28003-cb9d-4252-b47e-eb31b79c4746?index=3</t>
  </si>
  <si>
    <t>https://alpha.midjourney.com/jobs/c014fa78-9b56-4e92-9380-05f3c1bc63f2?index=3</t>
  </si>
  <si>
    <t>https://alpha.midjourney.com/jobs/c014fa78-9b56-4e92-9380-05f3c1bc63f2?index=0</t>
  </si>
  <si>
    <t>https://alpha.midjourney.com/jobs/ea69db27-0094-46a2-957d-df9c6587cd8f?index=1</t>
  </si>
  <si>
    <t>https://alpha.midjourney.com/jobs/d8a56be5-0fe5-434b-a77a-b6146873ea1a?index=3</t>
  </si>
  <si>
    <t>https://alpha.midjourney.com/jobs/d8a56be5-0fe5-434b-a77a-b6146873ea1a?index=0</t>
  </si>
  <si>
    <t>Torii Spirit</t>
  </si>
  <si>
    <t>Deploy: Unleash &lt;E&gt;&lt;E&gt;&lt;E&gt;: Gain Fear and Ward.</t>
  </si>
  <si>
    <t>torii spirit, spirit sitting ontop of a torii gate, yokai, ghost, ethereal, see-through, gentle, benevolent, cute, adorable, colorful</t>
  </si>
  <si>
    <t>https://alpha.midjourney.com/jobs/855d9ad2-60fa-4317-90d5-dde695aa3863?index=2</t>
  </si>
  <si>
    <t>https://alpha.midjourney.com/jobs/ef31c8de-f61e-4972-86e9-aa9f1831afd5?index=0</t>
  </si>
  <si>
    <t>https://alpha.midjourney.com/jobs/8785718a-3cef-4d6b-adf4-3f611a3b965e?index=2</t>
  </si>
  <si>
    <t>https://alpha.midjourney.com/jobs/f0a7e593-e8a3-49a4-9357-69927b40e0a8?index=1</t>
  </si>
  <si>
    <t>https://alpha.midjourney.com/jobs/f0a7e593-e8a3-49a4-9357-69927b40e0a8?index=0</t>
  </si>
  <si>
    <t>https://alpha.midjourney.com/jobs/677914ad-f8cb-4855-b453-f47da8640844?index=0</t>
  </si>
  <si>
    <t>https://alpha.midjourney.com/jobs/0c2fcc58-1cd5-4e2c-9953-06ae99527acc?index=3</t>
  </si>
  <si>
    <t>https://alpha.midjourney.com/jobs/cb83f03b-5441-4ab6-acd4-d6c23cfbf1b0?index=3</t>
  </si>
  <si>
    <t>https://alpha.midjourney.com/jobs/cb83f03b-5441-4ab6-acd4-d6c23cfbf1b0?index=1</t>
  </si>
  <si>
    <t>https://alpha.midjourney.com/jobs/11cea0b5-15f6-46ea-9c98-85147c5d0c1d?index=2</t>
  </si>
  <si>
    <t>Omen Firefly</t>
  </si>
  <si>
    <t>Insect</t>
  </si>
  <si>
    <t>Start of your Turn: You may bury this to obscure 2.</t>
  </si>
  <si>
    <t>Obscure</t>
  </si>
  <si>
    <t>Runecursed Wyvern</t>
  </si>
  <si>
    <t>Crystalblight? Dragon Wizard</t>
  </si>
  <si>
    <t>Deploy: Bury a friendly Crystal.</t>
  </si>
  <si>
    <t>Empty Crystal</t>
  </si>
  <si>
    <t>runecursed wyvern, blind, no eyes, black faceplate, drawing energy from the earth, burning runes etched into its scales</t>
  </si>
  <si>
    <t>https://alpha.midjourney.com/jobs/304afcfd-7894-408f-9075-b9665b0da9bb?index=1</t>
  </si>
  <si>
    <t>https://alpha.midjourney.com/jobs/3f700745-93e9-491e-b302-0f3b8129cd3a?index=3</t>
  </si>
  <si>
    <t>https://alpha.midjourney.com/jobs/efc96ed0-d87b-4d29-bb86-f29795728bf8?index=2</t>
  </si>
  <si>
    <t>https://alpha.midjourney.com/jobs/b6935539-efed-401f-850a-d485cb53a209?index=2</t>
  </si>
  <si>
    <t>https://alpha.midjourney.com/jobs/b1f8f3d5-445f-4c75-8c69-dc3c00dd6a2a?index=3</t>
  </si>
  <si>
    <t>https://alpha.midjourney.com/jobs/b1f8f3d5-445f-4c75-8c69-dc3c00dd6a2a?index=1</t>
  </si>
  <si>
    <t>Pixie Summoner</t>
  </si>
  <si>
    <t>Deploy: Unleash &lt;E&gt;&lt;E&gt;: Move an adjacent Unit. Gain Taunt.</t>
  </si>
  <si>
    <t>E, ?, ?, ?</t>
  </si>
  <si>
    <t>Pyretic Pet</t>
  </si>
  <si>
    <t>Ally of Wizard: You may return the Ally to your Hand to deploy a Unit from your Hand.</t>
  </si>
  <si>
    <t>"'This is why we can't have nice things,' I muttered as the tapestries turned to ashes. My dragon's purr was the only reply, pleased with its redecoration."</t>
  </si>
  <si>
    <t>Red Crusader</t>
  </si>
  <si>
    <t>Warrior</t>
  </si>
  <si>
    <t>Crusader</t>
  </si>
  <si>
    <t>Tectonic Shifter</t>
  </si>
  <si>
    <t>Demon Dinosaur</t>
  </si>
  <si>
    <t>Deploy: Gain Fear. Return an adjacent Unit to its Owner's Hand.</t>
  </si>
  <si>
    <t>E, E, ?, ?, ?, ?</t>
  </si>
  <si>
    <t>tectonic shifter, groudon</t>
  </si>
  <si>
    <t>https://alpha.midjourney.com/jobs/04e07353-17ab-4846-84bc-818bc402f09d?index=1</t>
  </si>
  <si>
    <t>https://alpha.midjourney.com/jobs/e8e96f76-94bd-41ae-b1bd-4ca96aebdd1e?index=3</t>
  </si>
  <si>
    <t>https://alpha.midjourney.com/jobs/ee08debf-6dfa-4c1a-b68d-af2815e27ecd?index=0</t>
  </si>
  <si>
    <t>https://alpha.midjourney.com/jobs/a5b23374-c9e0-4cc3-ac9e-7cc693ab07b6?index=1</t>
  </si>
  <si>
    <t>https://alpha.midjourney.com/jobs/da48772a-b4d4-44f8-8d55-428c4b7750df?index=1</t>
  </si>
  <si>
    <t>Sand Witch</t>
  </si>
  <si>
    <t>Ascend: Elemental.</t>
  </si>
  <si>
    <t>Amberlock Dragonling</t>
  </si>
  <si>
    <t>Ritual: Gain +4 Power.</t>
  </si>
  <si>
    <t>Clutched in youthful talons lies a fragment of legend, making each hunt not just a pursuit for prey, but a dance with destiny.</t>
  </si>
  <si>
    <t>amberlock dragonling, baby dragon, climbing out of a dragon egg, cute, adorable, colorful</t>
  </si>
  <si>
    <t>https://alpha.midjourney.com/jobs/31869c2e-79e0-44a2-bcb2-ef2489f226ad?index=3</t>
  </si>
  <si>
    <t>https://alpha.midjourney.com/jobs/86e09484-75c2-4d9e-b33e-31faa3d4e251?index=2</t>
  </si>
  <si>
    <t>https://alpha.midjourney.com/jobs/68e2c61d-f9ac-435e-8eb9-44ef82724758?index=1</t>
  </si>
  <si>
    <t>https://alpha.midjourney.com/jobs/02a937b0-dc30-4b61-a80a-775950a47d1e?index=0</t>
  </si>
  <si>
    <t>https://alpha.midjourney.com/jobs/f8926069-73ab-4045-b918-9cb77758a03b?index=3</t>
  </si>
  <si>
    <t>https://alpha.midjourney.com/jobs/a02f660a-1dce-436f-acb5-465e63f5bbc5?index=1</t>
  </si>
  <si>
    <t>https://alpha.midjourney.com/jobs/0e687280-8a8e-4bab-ba7e-71eecfd6f625?index=2</t>
  </si>
  <si>
    <t>https://alpha.midjourney.com/jobs/5e110d2e-a7e4-436b-bb11-4fb86e1580e9?index=3</t>
  </si>
  <si>
    <t>https://alpha.midjourney.com/jobs/5e110d2e-a7e4-436b-bb11-4fb86e1580e9?index=2</t>
  </si>
  <si>
    <t>https://alpha.midjourney.com/jobs/750ed738-29ba-42b6-8f6f-d878ddac70d4?index=1</t>
  </si>
  <si>
    <t>Cavern Lindwurm</t>
  </si>
  <si>
    <t>Ally of 5 or more Power: Gain Taunt and +3 Power.</t>
  </si>
  <si>
    <t>Where one dragon's roar shakes the cavern, two can bring mountains to their knees.</t>
  </si>
  <si>
    <t>E, E, ?, ?, ?</t>
  </si>
  <si>
    <t>cavern lindwurm, celtic snake dragon in a dimly lit cave, cruel, olive colored pale blind and broken scales</t>
  </si>
  <si>
    <t>https://alpha.midjourney.com/jobs/4cc82fb7-ff66-4625-86b9-bd6b6019e512?index=2</t>
  </si>
  <si>
    <t>https://alpha.midjourney.com/jobs/172ae98b-46c0-4825-b85b-219a47dfecc0?index=2</t>
  </si>
  <si>
    <t>https://alpha.midjourney.com/jobs/ab137782-70f1-4ba3-840a-49cf4fda7bbe?index=3</t>
  </si>
  <si>
    <t>https://alpha.midjourney.com/jobs/2780038d-6258-4c7a-a5e0-700cdfe423f9?index=0</t>
  </si>
  <si>
    <t>https://alpha.midjourney.com/jobs/20fb2d42-8fe0-4690-82e2-b7936769540e?index=1</t>
  </si>
  <si>
    <t>https://alpha.midjourney.com/jobs/bb160c1d-6202-4543-88a9-152dadcce248?index=2</t>
  </si>
  <si>
    <t>https://alpha.midjourney.com/jobs/42ab612c-d4a4-4640-b0eb-a0098355068a?index=2</t>
  </si>
  <si>
    <t>https://alpha.midjourney.com/jobs/42ab612c-d4a4-4640-b0eb-a0098355068a?index=1</t>
  </si>
  <si>
    <t>https://alpha.midjourney.com/jobs/da9010de-44c1-42bf-8bbc-f7eb026c1882?index=2</t>
  </si>
  <si>
    <t>https://alpha.midjourney.com/jobs/bdfca501-4b58-4f97-83e7-bcf89c7e7f5e?index=0</t>
  </si>
  <si>
    <t>Shardhorde Galewhelp</t>
  </si>
  <si>
    <t>Deploy: Unleash &lt;E&gt;&lt;E&gt;&lt;E&gt;: You may crystallize this and deploy another friendly Dragon Crystal into this Slot.</t>
  </si>
  <si>
    <t>In its youth, a mere gust; in its fury, a tempest – such is the nature of the Shardhorde's child.</t>
  </si>
  <si>
    <t>Sparkwielder</t>
  </si>
  <si>
    <t>Deploy: Reveal the top Card with an 'Unleash' ability from your Deck. Copy its 'Unleash' ability, then draw that Card.</t>
  </si>
  <si>
    <t>Dragon Egg</t>
  </si>
  <si>
    <t>Ambush: A Player conquered this Lane this Turn.</t>
  </si>
  <si>
    <t>Cracks in the egg foretell the birth of a legend, a creature born from flame and scale.</t>
  </si>
  <si>
    <t>stony egg with red scaled structure, in a large nest in the mountains</t>
  </si>
  <si>
    <t>https://alpha.midjourney.com/jobs/a4c0044f-a986-4aa9-87bf-000b67966a4b?index=0</t>
  </si>
  <si>
    <t>https://alpha.midjourney.com/jobs/1368b59f-6a3a-4f37-b704-dc0023c5a39b?index=0</t>
  </si>
  <si>
    <t>https://alpha.midjourney.com/jobs/1368b59f-6a3a-4f37-b704-dc0023c5a39b?index=3</t>
  </si>
  <si>
    <t>https://alpha.midjourney.com/jobs/3e4015d3-c57e-4d12-9ddb-df5fcfb9d19d?index=0</t>
  </si>
  <si>
    <t>Glinteye Hoarder</t>
  </si>
  <si>
    <t>Conquer: Draw 2 Cards and bury a friendly Crystal.</t>
  </si>
  <si>
    <t>A dragon's passion for gold cast into living form.</t>
  </si>
  <si>
    <t>glinteye hoarder, golden dragon, dragon with golden scales, sitting on a pile of gems</t>
  </si>
  <si>
    <t>https://alpha.midjourney.com/jobs/8ccfe4e3-0dd5-4f9c-be98-1629ec29694f?index=0</t>
  </si>
  <si>
    <t>https://alpha.midjourney.com/jobs/8ccfe4e3-0dd5-4f9c-be98-1629ec29694f?index=2</t>
  </si>
  <si>
    <t>https://alpha.midjourney.com/jobs/47e93cbb-0e71-491a-a49b-5685172b96b1?index=2</t>
  </si>
  <si>
    <t>https://alpha.midjourney.com/jobs/c0bbf41e-da40-447a-8817-ba761c755907?index=1</t>
  </si>
  <si>
    <t>https://alpha.midjourney.com/jobs/e27864a6-cc07-4984-b181-922b584c0d96?index=3</t>
  </si>
  <si>
    <t>https://alpha.midjourney.com/jobs/0a1168a7-16a3-4022-b822-fd13a508a624?index=0</t>
  </si>
  <si>
    <t>https://alpha.midjourney.com/jobs/e30e77bd-955e-4e8e-afe4-eae7161982c4?index=3</t>
  </si>
  <si>
    <t>https://alpha.midjourney.com/jobs/eaad0536-abea-4999-883c-e3e793929cf4?index=3</t>
  </si>
  <si>
    <t>https://alpha.midjourney.com/jobs/a3874385-0194-4c0f-ba14-08b4d7628a67?index=1</t>
  </si>
  <si>
    <t>https://alpha.midjourney.com/jobs/8c585bc8-5180-439e-8adb-c3a47c0150fe?index=2</t>
  </si>
  <si>
    <t>Shardhorde Leviathan</t>
  </si>
  <si>
    <t>Rising from oceanic depths, its crystalline form is a monolith of untamed power, a behemoth that knows no bounds.</t>
  </si>
  <si>
    <t>E, E, E, ?, ?, ?, ?</t>
  </si>
  <si>
    <t>https://alpha.midjourney.com/jobs/f04b4fbf-83ad-4f50-9c3a-68843e69ef11?index=2</t>
  </si>
  <si>
    <t>https://alpha.midjourney.com/jobs/23732ab2-74d0-4739-baaf-5e6c23e8873a?index=0</t>
  </si>
  <si>
    <t>Stormbringer</t>
  </si>
  <si>
    <t>Deploy: Put an adjacent enemy Unit on the bottom of your Opponent's Deck. Move the top Card of your Opponent's Deck into that Slot.</t>
  </si>
  <si>
    <t>In his grasp, the calmest breeze becomes a maelstrom, a whirlwind of chaos at his command</t>
  </si>
  <si>
    <t>Daredevil Duo</t>
  </si>
  <si>
    <t>Dragon Human</t>
  </si>
  <si>
    <t>Crystallize and Deploy: Another friendly Unit gains Taunt.</t>
  </si>
  <si>
    <t>Where her courage leads, dragon fire follows - a ballet of blade and blaze, unmatched.</t>
  </si>
  <si>
    <t>Infernoblight</t>
  </si>
  <si>
    <t>Dragon Hunter</t>
  </si>
  <si>
    <t>Deploy: Gain Fear. Whenever a friendly Dragon Unit is deployed adjacently, gain +1 Power, and draw a Card</t>
  </si>
  <si>
    <t>In the whispers of night, they speak of Infernoblight, a fiery doom awaiting at time's edge, a scorching conclusion to all stories.</t>
  </si>
  <si>
    <t>Roughlands Scourge</t>
  </si>
  <si>
    <t>Deploy: Gain Fear.</t>
  </si>
  <si>
    <t>Where its shadow falls, terror takes root, a draconic tyrant of the barren lands.</t>
  </si>
  <si>
    <t>Stormlash</t>
  </si>
  <si>
    <t>Deploy: Unleash &lt;E&gt;&lt;E&gt;&lt;E&gt;: You may move all adjacent enemy Units.</t>
  </si>
  <si>
    <t>He is the tempest incarnate, a draconic force that reshapes landscapes with the mere beat of his wings.</t>
  </si>
  <si>
    <t>Stormworn Horn</t>
  </si>
  <si>
    <t>Ally of Elemental: Draw three Cards. At the End of this Turn, put three Cards from your Hand at the bottom of your Deck.</t>
  </si>
  <si>
    <t>Rare is the sight of the horned earth-digger, a creature whose very existence challenges our understanding of the natural world. It uses its horn in a manner most ingenious, excavating the ground for hidden morsels.</t>
  </si>
  <si>
    <t>The Culling Claw</t>
  </si>
  <si>
    <t>Demon Dragon</t>
  </si>
  <si>
    <t>Crystallize: Gain Crystalborn. Whenever a Common Unit is deployed adjacently, bury it and gain its Power.</t>
  </si>
  <si>
    <t>Cinderguard Scribe</t>
  </si>
  <si>
    <t>Deploy: Choose one: - Glimpse 1. - Gain +1 Power.</t>
  </si>
  <si>
    <t>From his quill flows the ink of revolution, as fiery as the red hoods that mark their cause.</t>
  </si>
  <si>
    <t>Skulloath Lootclaimer</t>
  </si>
  <si>
    <t>Deploy: Bury a Crystal.</t>
  </si>
  <si>
    <t>Cinderguard Irregulars</t>
  </si>
  <si>
    <t>In the ember's glow, hooded rebels rise, defying orders with fire in their eyes.</t>
  </si>
  <si>
    <t>Thunderfox</t>
  </si>
  <si>
    <t>Start of your Turn: You may bury this to give an adjacent friendly Unit +2 Power.</t>
  </si>
  <si>
    <t>Elusive as a spark in the storm, training it as a pet is a quest akin to capturing lightning itself.</t>
  </si>
  <si>
    <t>Dragonfire Warlock</t>
  </si>
  <si>
    <t>Ally of Dragon: Unleash &lt;E&gt;&lt;E&gt;: Bury an adjacent enemy Unit.</t>
  </si>
  <si>
    <t>With incantations smoldering on his tongue, he breathes out not words, but the fire of dragons.</t>
  </si>
  <si>
    <t>Twin Thundertail</t>
  </si>
  <si>
    <t>Ambush: A friendly Unit in this Lane unleashed this Turn. Unearth: Copy the 'Unleash' Ability of a friendly Unit in this Lane.</t>
  </si>
  <si>
    <t>Windkite Acolyte</t>
  </si>
  <si>
    <t>Deploy: You may swap this with an adjacent friendly Unit and gain +2 Power.</t>
  </si>
  <si>
    <t>Soaring on ancient breezes, this acolyte wields the wisdom of the wind.</t>
  </si>
  <si>
    <t>Blood Moon Scarab</t>
  </si>
  <si>
    <t>Whenever a Unit in this Lane is unearthed, gain its Power.</t>
  </si>
  <si>
    <t>Vengeful Gust</t>
  </si>
  <si>
    <t>Deploy: Bury a friendly Unit with the lowest Power.</t>
  </si>
  <si>
    <t>Portalrunner</t>
  </si>
  <si>
    <t>Elemental Mortal</t>
  </si>
  <si>
    <t>Deploy: You may swap this with another friendly Wizard Unit. Both gain +2 Power.</t>
  </si>
  <si>
    <t>Master of spatial rifts, he strides through worlds unseen, his power a dance with the fabric of reality.</t>
  </si>
  <si>
    <t>E, M, ?, ?</t>
  </si>
  <si>
    <t>Steelclaw Veterans</t>
  </si>
  <si>
    <t>Dragon Warrior</t>
  </si>
  <si>
    <t>Conquer: Bury another Unit with the lowest Power in each of these Lanes.</t>
  </si>
  <si>
    <t>Clad in scars and armor alike, these dragonborn define the fine line between ferocity and valor.</t>
  </si>
  <si>
    <t>E, E, M, M, ?, ?</t>
  </si>
  <si>
    <t>Crazed Hermit</t>
  </si>
  <si>
    <t>Elemental Nature</t>
  </si>
  <si>
    <t>Human Plant</t>
  </si>
  <si>
    <t>Deploy: Copy the 'Crystallize' ability of a friendly Crystal.</t>
  </si>
  <si>
    <t>A hermit no longer just a man, but a part of the forest's soul, understanding every rustle, every ripple, every breath of the wild.</t>
  </si>
  <si>
    <t>E, N, N, ?</t>
  </si>
  <si>
    <t>The Skyshrieker</t>
  </si>
  <si>
    <t>Dinosaur Warrior</t>
  </si>
  <si>
    <t>Deploy: Gain Fear. You may move an adjacent Unit.</t>
  </si>
  <si>
    <t>In times of crisis, his cry pierces the heavens, a sound that spells relief for the endangered and doom for their foes.</t>
  </si>
  <si>
    <t>E, E, N, ?, ?</t>
  </si>
  <si>
    <t>Gashopper</t>
  </si>
  <si>
    <t>Deploy: For each friendly Elemental Crystal, you may put a Card from your Hand to the bottom of your Deck and draw a Card.</t>
  </si>
  <si>
    <t>Enhanced by sulfuric geysirs, each of its eyes sees another future.</t>
  </si>
  <si>
    <t>Lurking Canopystomper</t>
  </si>
  <si>
    <t>Deploy: If there is no adjacent friendly Unit with 5 or more Power, bury this.</t>
  </si>
  <si>
    <t>E, N, ?, ?, ?</t>
  </si>
  <si>
    <t>Resourceful Poacher</t>
  </si>
  <si>
    <t>Ally of Animal, Dinosaur or Dragon: Return an adjacent Unit to its Owner's Hand and draw a Card.</t>
  </si>
  <si>
    <t>Dinosaurs</t>
  </si>
  <si>
    <t>Dewdrop Sprite</t>
  </si>
  <si>
    <t>Whenever a friendly Elemental Unit is deployed adjacently, gain +2 Power.</t>
  </si>
  <si>
    <t>In each glistening drop, a glint of magic, as fleeting and pure as morning's first light.</t>
  </si>
  <si>
    <t>Bringer of Bad Omens</t>
  </si>
  <si>
    <t>Elemental Void</t>
  </si>
  <si>
    <t>Spirit Wizard</t>
  </si>
  <si>
    <t>Deploy: Obscure 2. Glimpse 2.</t>
  </si>
  <si>
    <t>E, V</t>
  </si>
  <si>
    <t>Gaunt Visitation</t>
  </si>
  <si>
    <t>Undead Spirit</t>
  </si>
  <si>
    <t>Ambush: A Spirit Unit was deployed adjacently this Turn. Unearth: Adjacent friendly Spirit Units gain +2 Power and Fear.</t>
  </si>
  <si>
    <t>Spirits</t>
  </si>
  <si>
    <t>E, V, ?, ?, ?</t>
  </si>
  <si>
    <t>Dustdance Efreet</t>
  </si>
  <si>
    <t>Deploy: You may swap this with an adjacent enemy Unit.</t>
  </si>
  <si>
    <t>A sinister waltz in the dust, its dance is a trap for the unwary, a lure into the endless, shifting dunes.</t>
  </si>
  <si>
    <t>Raging Minotaur</t>
  </si>
  <si>
    <t>Animal Demon</t>
  </si>
  <si>
    <t>Whenever an enemy Unit is deployed adjacently, gain +2 Power. Deploy: Gain Taunt.</t>
  </si>
  <si>
    <t>Trapped between man and monster, his every step is a thunder of rage against a fate he never chose.</t>
  </si>
  <si>
    <t>Galeweaver</t>
  </si>
  <si>
    <t>Deploy: Swap an adjacent friendly Unit with the top Card of your Deck.</t>
  </si>
  <si>
    <t>As guardian of the gales, her touch is both a soothing balm and a tempest's fury, a spirit as unpredictable as the wind.</t>
  </si>
  <si>
    <t>Raijin's Familiar</t>
  </si>
  <si>
    <t>Deploy: Unleash &lt;E&gt;&lt;E&gt;&lt;E&gt;: You may move an adjacent Unit to any empty Slot on the Board.</t>
  </si>
  <si>
    <t>Shifting Sands</t>
  </si>
  <si>
    <t>Ambush: This Turn, a Unit was deployed adjacently. Unearth: Move an adjacent Unit.</t>
  </si>
  <si>
    <t>Volcano Embodiment</t>
  </si>
  <si>
    <t>Born from molten fury, it stands as both creator and destroyer of lands.</t>
  </si>
  <si>
    <t>Lightning Manticore</t>
  </si>
  <si>
    <t>Ritual: Bury an enemy Crystal.</t>
  </si>
  <si>
    <t>It prowls the storm-laden skies, a beast of electric dread, its allegiance as dark as the clouds it rides.</t>
  </si>
  <si>
    <t>E, E, V, ?, ?, ?</t>
  </si>
  <si>
    <t>Venomshade Lamia</t>
  </si>
  <si>
    <t>Animal Warrior</t>
  </si>
  <si>
    <t>Conquer: Draw Cards until you have as many Cards in Hand as your Opponent.</t>
  </si>
  <si>
    <t>In the shadow of her coils, lies a toxic allure, as deadly as it is beguiling.</t>
  </si>
  <si>
    <t>Raijin</t>
  </si>
  <si>
    <t>Spirit Dragon</t>
  </si>
  <si>
    <t>Deploy: Copy the 'Unleash' ability of each Unit.</t>
  </si>
  <si>
    <t>Where black clouds gather, his presence is near, the air crackling with the energy of his blue lightning.</t>
  </si>
  <si>
    <t>E, E, E, ?, ?, ?</t>
  </si>
  <si>
    <t>Cheerful Pixies</t>
  </si>
  <si>
    <t>Deploy: Another friendly Elemental Unit in this Lane gains Taunt and +1 Power.</t>
  </si>
  <si>
    <t>With giggles and pranks, they lure foes closer, their laughter as entrancing as it is maddening.</t>
  </si>
  <si>
    <t>Bastion Architect</t>
  </si>
  <si>
    <t>Deploy: A friendly Construct Unit in this Lane gains Ward, Taunt, and +2 Power.</t>
  </si>
  <si>
    <t>From his mind, mighty bastions rise and formidable siege engines emerge, playing both sides of war's relentless dance.</t>
  </si>
  <si>
    <t>M, ?, ?</t>
  </si>
  <si>
    <t>Dragonwind Harbinger</t>
  </si>
  <si>
    <t>Deploy: Draw the top Dragon of your Deck. Shuffle your Deck.</t>
  </si>
  <si>
    <t>In his eerie lament lies the fate of worlds, a grim herald of the dragonfire that will consume all.</t>
  </si>
  <si>
    <t>Cinderguard Emberblade</t>
  </si>
  <si>
    <t>Bannerbearer Human Warrior</t>
  </si>
  <si>
    <t>Armed with a blade of searing flame, his every strike ignites the battleground, a beacon of fiery determination.</t>
  </si>
  <si>
    <t>E, M</t>
  </si>
  <si>
    <t>Dragon Rider</t>
  </si>
  <si>
    <t>Human Dragon</t>
  </si>
  <si>
    <t>Deploy: Copy the Ability of an adjacent Dragon Unit or Human Unit.</t>
  </si>
  <si>
    <t>Together, they redefine the possible, her spirit and his fire entwined in flight.</t>
  </si>
  <si>
    <t>Blue Crusader</t>
  </si>
  <si>
    <t>Whenever an enemy non-Mortal Unit is deployed adjacently, gain +1 Power.</t>
  </si>
  <si>
    <t>M, ?</t>
  </si>
  <si>
    <t>Eagle of the Legion</t>
  </si>
  <si>
    <t>Animal Human</t>
  </si>
  <si>
    <t>Start of your Turn: A friendly Human Unit gains Fear or Taunt.</t>
  </si>
  <si>
    <t>"See her soar above the battle? That's not just any bird – that's ours, that is. And as long as she's flying, we're winning."</t>
  </si>
  <si>
    <t>Starfall Shaman</t>
  </si>
  <si>
    <t xml:space="preserve">Ritual: Glimpse 2 and draw 2 Cards. </t>
  </si>
  <si>
    <t>Guided by ancient constellations, he beckons knowledge from the heavens, a nod to the legendary magic of old.</t>
  </si>
  <si>
    <t>E, E, M, ?, ?</t>
  </si>
  <si>
    <t>Shardhorde Crystalfang</t>
  </si>
  <si>
    <t>Animal Bannerbearer Hunter</t>
  </si>
  <si>
    <t>Emerging from the heart of the earth, its malachite form gleams, a predator sculpted from nature's deepest treasures.</t>
  </si>
  <si>
    <t>E, N</t>
  </si>
  <si>
    <t>Gem Merchant</t>
  </si>
  <si>
    <t>Ambush: A Unit was deployed in this Lane this Turn. Unearth: Another friendly Unit in this Lane gains +2 Power.</t>
  </si>
  <si>
    <t>M, M, ?, ?</t>
  </si>
  <si>
    <t>Gladehost Shotmaster</t>
  </si>
  <si>
    <t>Crystallize: Unleash &lt;N&gt;&lt;N&gt;: Bury an enemy Unit adjacent to a friendly Hunter.</t>
  </si>
  <si>
    <t>In her hands, the bow is not just a weapon, but an extension of the forest's will, precise and deadly.</t>
  </si>
  <si>
    <t>Eons-old Dragon</t>
  </si>
  <si>
    <t>Dragon Plant</t>
  </si>
  <si>
    <t>Deploy: All other Elemental Unit and Nature Units in this Lane gain +3 Power.</t>
  </si>
  <si>
    <t>In its slumber, time weaved the wilderness around it, a dragon as ancient as the forest it now embodies.</t>
  </si>
  <si>
    <t>E, E, N, N, ?, ?</t>
  </si>
  <si>
    <t>Tidecrasher</t>
  </si>
  <si>
    <t>Deploy: Gain Fear and +1 Power for each adjacent empty Slot.</t>
  </si>
  <si>
    <t>He glides beneath the waves, a leviathan of legend, the subject of sailors' prayers and tales.</t>
  </si>
  <si>
    <t>Imperial Tyrant</t>
  </si>
  <si>
    <t>Crystallize, Deploy and Conquer: Draw a Card if you are leading in Lanes.</t>
  </si>
  <si>
    <t>Skulloath Marauder</t>
  </si>
  <si>
    <t>Bannerbearer Undead Warrior</t>
  </si>
  <si>
    <t>Bound by dark pacts and whispered curses, he plunders, leaving only desolation in his wake.</t>
  </si>
  <si>
    <t>Legion of the Moonspear</t>
  </si>
  <si>
    <t>Deploy: If you are leading in Units, deploy a friendly Warrior Crystal.</t>
  </si>
  <si>
    <t>Each step echoes their oath, each breath a testament to their unyielding resolve in the face of darkness.</t>
  </si>
  <si>
    <t>Makeshift Militia</t>
  </si>
  <si>
    <t>Whenever a friendly Common Unit is deployed adjacently, give it +1 Power.</t>
  </si>
  <si>
    <t>From farmers to fools, all stand together when peril knocks.</t>
  </si>
  <si>
    <t>M</t>
  </si>
  <si>
    <t>Master Strategist</t>
  </si>
  <si>
    <t>Conquer: Obscure for each friendly Unit in the conquered Lane.</t>
  </si>
  <si>
    <t>M, ?, ?, ?, ?</t>
  </si>
  <si>
    <t>Moonspear Wraithknight</t>
  </si>
  <si>
    <t>Crystallize: This Turn, if you conquered a Lane, you may deploy this.</t>
  </si>
  <si>
    <t>No longer a man, but a phantom of duty, he haunts the battlefield, eternally loyal to his chapter's cause.</t>
  </si>
  <si>
    <t>Mountblade Squire</t>
  </si>
  <si>
    <t>Conquer: Gain +3 Power.</t>
  </si>
  <si>
    <t>???</t>
  </si>
  <si>
    <t>Wasteland Overlord</t>
  </si>
  <si>
    <t>Deploy: Gain Fear. Whenever you deploy a Unit adjacently, that Unit gains Fear.</t>
  </si>
  <si>
    <t>A dragon reborn as a demon of wrath, his rampage carves a path of desolation, unstoppable and unguided.</t>
  </si>
  <si>
    <t>E, V, ?, ?</t>
  </si>
  <si>
    <t>Old Fisherman</t>
  </si>
  <si>
    <t>Deploy: Gain Taunt. Whenever an Rare Unit is deployed adjacently, gain +3 Power.</t>
  </si>
  <si>
    <t>Ayo, son! Look at that catch!</t>
  </si>
  <si>
    <t>Pinwheel Illusionist</t>
  </si>
  <si>
    <t>Deploy: You may copy the 'Deploy' ability of a friendly Mortal Unit in this Lane.</t>
  </si>
  <si>
    <t>With each gesture, he captures the essence of another, a spectral echo of their abilities becoming his own.</t>
  </si>
  <si>
    <t>Quadriga of Triumph</t>
  </si>
  <si>
    <t>Crystallize: Gain Crystalborn. Conquer: All friendly Units in the conquered Lane gain +1 Power.</t>
  </si>
  <si>
    <t>From the thunder of war to the silence of memory, this monument bears the legacy of an empire's greatest triumphs.</t>
  </si>
  <si>
    <t>Pyroclastic Zombie</t>
  </si>
  <si>
    <t>Undead</t>
  </si>
  <si>
    <t>Ambush: The Opponent conquered this Lane this Turn.</t>
  </si>
  <si>
    <t>Born from flames and madness, he lumbers through the shadows, an urban legend made flesh and fire.</t>
  </si>
  <si>
    <t>Recruiting Officer</t>
  </si>
  <si>
    <t>Deploy: Draw the top Card of your Deck that shares a Type with an adjacent friendly Unit. Shuffle your deck.</t>
  </si>
  <si>
    <t>More than a mere selector, he is a sculptor of potential, molding the empire's greatest asset – its warriors.</t>
  </si>
  <si>
    <t>Old Bessy</t>
  </si>
  <si>
    <t>Deploy: Unleash &lt;E&gt;&lt;D&gt;&lt;M&gt;&lt;N&gt;&lt;V&gt;: Double the Power of all adjacent friendly Units.</t>
  </si>
  <si>
    <t>Ancient eyes, a witness to empires' rise and fall.</t>
  </si>
  <si>
    <t>M, ?, ?, ?</t>
  </si>
  <si>
    <t>Remnant of the Quiet Springs</t>
  </si>
  <si>
    <t>Crystallize: A friendly Animal Unit gets +1 Power for each adjacent free Slot.</t>
  </si>
  <si>
    <t>With every gentle hop, it weaves enchantment, protecting a spring whose whispers speak of ageless mysteries.</t>
  </si>
  <si>
    <t>Sandring Pridemane</t>
  </si>
  <si>
    <t>Deploy: Gain Fear. If you are Leading in Lanes, gain +4 Power.</t>
  </si>
  <si>
    <t>M, M, ?</t>
  </si>
  <si>
    <t>Scapegoat</t>
  </si>
  <si>
    <t>When a friendly Unit with a 'Ritual' ability is deployed, you may bury this to copy that Unit's 'Ritual' ability.</t>
  </si>
  <si>
    <t>Ritual</t>
  </si>
  <si>
    <t>Snow Crane</t>
  </si>
  <si>
    <t>Deploy: Draw a Card.</t>
  </si>
  <si>
    <t>Its elegant presence blesses the new year with hopes of prosperity and vitality.</t>
  </si>
  <si>
    <t>M, M</t>
  </si>
  <si>
    <t>Trusty Companion</t>
  </si>
  <si>
    <t>Ally of Human: Draw a Card and gain Fear.</t>
  </si>
  <si>
    <t>At a soldier's side, steadfast and brave, this canine heart knows no fear, only loyalty.</t>
  </si>
  <si>
    <t>Surly Donkey</t>
  </si>
  <si>
    <t>Deploy: Gain Taunt. Another friendly Mortal Unit with the lowest Power in this Lane gets +2 Power.</t>
  </si>
  <si>
    <t>A grumbling companion on many a journey, its stubbornness is as legendary as its burden-bearing resilience.</t>
  </si>
  <si>
    <t>The Grand Ruiner</t>
  </si>
  <si>
    <t>Deploy: Gain Ward. Whenever a friendly Unit ascends, that Unit gains +4 Power.</t>
  </si>
  <si>
    <t>M, M, ?, ?, ?, ?</t>
  </si>
  <si>
    <t>Trading Post Camel</t>
  </si>
  <si>
    <t>Ascend: Mortal.</t>
  </si>
  <si>
    <t>Gold Colibri</t>
  </si>
  <si>
    <t>Deploy: Every friendly Crystal becomes all Realms until the end of your next Turn.</t>
  </si>
  <si>
    <t>A mechanical marvel, blending art and whimsy in its flight.</t>
  </si>
  <si>
    <t>Ironstride Courser</t>
  </si>
  <si>
    <t>Deploy: Choose one: - Each other friendly Unit in this Lane gets +1 Power. - Gain +3 Power.</t>
  </si>
  <si>
    <t>In the tumult of war, some tasks demand the relentless charge of reinforced steel.</t>
  </si>
  <si>
    <t>Siegebreaker</t>
  </si>
  <si>
    <t>Deploy: If you have another Warrior Unit, gain Ward.</t>
  </si>
  <si>
    <t>An unstoppable juggernaut under the Empire's banner.</t>
  </si>
  <si>
    <t>M, M, M, ?</t>
  </si>
  <si>
    <t>Supply Camel</t>
  </si>
  <si>
    <t>Deploy: A friendly Animal or Warrior in this Lane gains +3 Power.</t>
  </si>
  <si>
    <t>Carrying the weight of war, one step at a time.</t>
  </si>
  <si>
    <t>Ironclad Jailwalker</t>
  </si>
  <si>
    <t>Conquer: Your Opponent buries one of their Units in the conquered Lane.</t>
  </si>
  <si>
    <t>Neither walls nor bars, but a walking prison, relentless in its pursuit of order.</t>
  </si>
  <si>
    <t>Wayward Automaton</t>
  </si>
  <si>
    <t>Construct Hunter</t>
  </si>
  <si>
    <t>Deploy: Glimpse equal to the number of buried Units.</t>
  </si>
  <si>
    <t>Every arrow it loosed flew awry, a spectacle of failed ambition. Now, it walks the battlefield, an arsenal on legs, indispensable in its own way.</t>
  </si>
  <si>
    <t>Battle Ant Dreadnought</t>
  </si>
  <si>
    <t>Mortal Nature</t>
  </si>
  <si>
    <t>Insect Warrior</t>
  </si>
  <si>
    <t>Deploy and Start of your Turn: Randomly gain either Ward, Taunt, Fear.</t>
  </si>
  <si>
    <t>M, N, N, ?, ?, ?</t>
  </si>
  <si>
    <t>Prime Golem</t>
  </si>
  <si>
    <t>Deploy: Move a friendly Construct Unit in this Lane.</t>
  </si>
  <si>
    <t>From the world's earliest tales, this colossal guardian emerges, embodying the enduring legacy of its first creators.</t>
  </si>
  <si>
    <t>Dojo Drill Instructor</t>
  </si>
  <si>
    <t>Deploy: Draw the top Warrior from your Deck. Shuffle your Deck.</t>
  </si>
  <si>
    <t>Its gears and circuits teach more than combat; they instill discipline that outlasts steel.</t>
  </si>
  <si>
    <t>Tilling Yoke Beast</t>
  </si>
  <si>
    <t>Whenever you crystallize a Mortal Crystal, another friendly Unit gains +2 Power.</t>
  </si>
  <si>
    <t>Ordinary beasts cause only an ordinary harvest.</t>
  </si>
  <si>
    <t>Rampart Shellback</t>
  </si>
  <si>
    <t>Conquer: Double the Power of an adjacent friendly Unit.</t>
  </si>
  <si>
    <t>Ankylosaurus</t>
  </si>
  <si>
    <t>Zodiac Samurai</t>
  </si>
  <si>
    <t>Deploy: Gain Ward. Gain +1 Power for each Animal.</t>
  </si>
  <si>
    <t>Bearing the might of the zodiac's beasts, his swordplay echoes the patterns written in the night sky.</t>
  </si>
  <si>
    <t>M, N, ?, ?</t>
  </si>
  <si>
    <t>Pocket Dragon</t>
  </si>
  <si>
    <t>Deploy: Choose one: - You may move an adjacent friendly Unit. - Draw a Card.</t>
  </si>
  <si>
    <t>In the tranquility of his mundane home, this tiny dragon frolics, a creature more akin to playful pet than fearsome beast.</t>
  </si>
  <si>
    <t>Caring Mother</t>
  </si>
  <si>
    <t>Crystallize and Deploy: Another friendly Human Unit gains +2 Power.</t>
  </si>
  <si>
    <t>Her gentle lullabies echo promises of greatness, cradled in the heart of the city's forgotten streets.</t>
  </si>
  <si>
    <t>Rune Whisperer</t>
  </si>
  <si>
    <t>Deploy: You may return a friendly Crystal to your Hand to crystallize a Card from your Hand.</t>
  </si>
  <si>
    <t>With each ethereal touch, it awakens the ancient scripts, a bridge between the Shards and the arcane truths they hold.</t>
  </si>
  <si>
    <t>The Holy Chicken</t>
  </si>
  <si>
    <t>Crystallize: Choose a Realm. Until end of your Turn, all your Crystals also become Crystals of that Realm.</t>
  </si>
  <si>
    <t>M, N, ?</t>
  </si>
  <si>
    <t>The Life Tree</t>
  </si>
  <si>
    <t>Plant</t>
  </si>
  <si>
    <t>Start of your Turn: An adjacent Unit with lower Power than this gains +1 Power.</t>
  </si>
  <si>
    <t>Filthy Peasant</t>
  </si>
  <si>
    <t>In the shadow of grand coliseums and marble halls, he toils, an eternal cog in the city's endless sprawl.</t>
  </si>
  <si>
    <t>Greedy Senator</t>
  </si>
  <si>
    <t>Deploy: Bury each friendly Unit in this Lane to gain its Power.</t>
  </si>
  <si>
    <t>For personal gain, he'd unbalance the scales of power.</t>
  </si>
  <si>
    <t>Bloodfleet Harpooneer</t>
  </si>
  <si>
    <t>Deploy: Gain Fear. Bury an adjacent Unit.</t>
  </si>
  <si>
    <t>A terror of the deep, he and his leviathan companion embody the ruthless spirit of the sea's most notorious pirates.</t>
  </si>
  <si>
    <t>Crescent Oracle</t>
  </si>
  <si>
    <t>Mortal Void</t>
  </si>
  <si>
    <t>Deploy: Choose one: You may bury a Crystal. - You may unearth a Crystal.</t>
  </si>
  <si>
    <t>M, V, ?, ?</t>
  </si>
  <si>
    <t>Bloodfleet Raider</t>
  </si>
  <si>
    <t>Whenever an friendly Unit is deployed adjacently, gain Taunt.</t>
  </si>
  <si>
    <t>With a laugh in the face of danger and a toast to the thrill of the sea, he raids under the Bloodfleet's flag, where freedom is the greatest treasure.</t>
  </si>
  <si>
    <t>Gemcrazed Clown</t>
  </si>
  <si>
    <t>Demon Wizard</t>
  </si>
  <si>
    <t>Deploy: You may unearth a Crystal to draw a Card.</t>
  </si>
  <si>
    <t>M, V, ?</t>
  </si>
  <si>
    <t>Sanguine Student</t>
  </si>
  <si>
    <t>Human Undead</t>
  </si>
  <si>
    <t>Ally of Void: Bury an adjacent enemy Common Unit.</t>
  </si>
  <si>
    <t>Once a scion of privilege, now a student of the night, he sharpens his fangs on the unsuspecting, building his dark legacy.</t>
  </si>
  <si>
    <t>Shade in the Alley</t>
  </si>
  <si>
    <t>Demon Human</t>
  </si>
  <si>
    <t>Ambush: This Turn, your Opponent conquered this Lane. Unearth: Bury an enemy Unit with the lowest Power in this Lane.</t>
  </si>
  <si>
    <t>M, V, ?, ?, ?</t>
  </si>
  <si>
    <t>Cinderguard Saboteur</t>
  </si>
  <si>
    <t>Underneath the red hood lies a will that cannot be extinguished.</t>
  </si>
  <si>
    <t>Scalehide Trapper</t>
  </si>
  <si>
    <t>Ambush: An enemy Unit with 6 or more Power was deployed adjacently this Turn. Unearth: Bury an adjacent enemy Unit.</t>
  </si>
  <si>
    <t>Against the backdrop of roaring giants, his silent patience weaves the web that brings titans to their knees.</t>
  </si>
  <si>
    <t>Vindictive Forsaken</t>
  </si>
  <si>
    <t>Whenever a Common Unit is deployed adjacently, bury a friendly Crystal.</t>
  </si>
  <si>
    <t>M, V, V, ?, ?, ?</t>
  </si>
  <si>
    <t>Trapmaster</t>
  </si>
  <si>
    <t>Deploy: Copy the 'Unearth' ability of a friendly Unit.</t>
  </si>
  <si>
    <t>In the game of predator and prey, she crafts her cunning into every snare, her ambition as boundless as the wilds.</t>
  </si>
  <si>
    <t>Willing Sacrifice</t>
  </si>
  <si>
    <t>Start of your Turn: You may bury this to draw the top Rare Unit from your Deck. Shuffle your Deck.</t>
  </si>
  <si>
    <t>M, V</t>
  </si>
  <si>
    <t>Frontier Centurion</t>
  </si>
  <si>
    <t>Beyond the empire's walls, his blade draws the line.</t>
  </si>
  <si>
    <t>Armordillo</t>
  </si>
  <si>
    <t>Ascend: Nature. Deploy: Gain Taunt and +3 Power.</t>
  </si>
  <si>
    <t>N, ?</t>
  </si>
  <si>
    <t>Bloodclaw</t>
  </si>
  <si>
    <t>Deploy: Each Player crystallizes the top Card of their Deck.</t>
  </si>
  <si>
    <t>In its monstrous stride, the ground trembles, heralding a primal horror from the depths of damnation.</t>
  </si>
  <si>
    <t>N, N, ?, ?</t>
  </si>
  <si>
    <t>Blossombeast</t>
  </si>
  <si>
    <t>Animal Plant</t>
  </si>
  <si>
    <t>Deploy: If you have 12 or fewer Cards in your Deck, gain +3 Power. If you have more than 6 Crystals, gain +3 Power. If you have more than 4 Cards in Hand, gain +3 Power.</t>
  </si>
  <si>
    <t>Bug Curator</t>
  </si>
  <si>
    <t>Deploy: Draw the top Insect from your Deck. Shuffle your Deck.</t>
  </si>
  <si>
    <t>In his care, the smallest creatures find grand purpose, each insect a piece in his ever-growing collection.</t>
  </si>
  <si>
    <t>N, ?, ?</t>
  </si>
  <si>
    <t>Paragon of Conquest</t>
  </si>
  <si>
    <t>Conquer: If you've won three Lanes, you win the Game.</t>
  </si>
  <si>
    <t>M, M, M, ?, ?, ?</t>
  </si>
  <si>
    <t>Buzzing Hivetitan</t>
  </si>
  <si>
    <t>Dinosaur Insect</t>
  </si>
  <si>
    <t>Crystallize: Unleash &lt;?&gt;&lt;?&gt;&lt;?&gt;: You may deploy an Insect from your Hand.</t>
  </si>
  <si>
    <t>Insects</t>
  </si>
  <si>
    <t>N, N, ?, ?, ?, ?</t>
  </si>
  <si>
    <t>Stormforged Recruit</t>
  </si>
  <si>
    <t>Ally of Mortal: +3 Power.</t>
  </si>
  <si>
    <t>Baptized in rain and thunder, from the chaos of war emerged a true hero.</t>
  </si>
  <si>
    <t>Caleidoscope Spider</t>
  </si>
  <si>
    <t>Insect Hunter</t>
  </si>
  <si>
    <t>Ambush: An enemy Unit moved or gained Power this Turn. Unearth: Cleanse an enemy Unit.</t>
  </si>
  <si>
    <t>Ambrosia Bee</t>
  </si>
  <si>
    <t>Whenever a friendly Mortal Unit is deployed adjacently, gain +2 Power.</t>
  </si>
  <si>
    <t>From flower to hive, it crafts a honey so divine, battles are waged over mere droplets of its golden essence.</t>
  </si>
  <si>
    <t>Alchemist's Incense</t>
  </si>
  <si>
    <t>Ally Wizard: Glimpse 2.</t>
  </si>
  <si>
    <t>In his vials swirl the future of medicine and perhaps the key to untold power.</t>
  </si>
  <si>
    <t>Starborne Basilisk</t>
  </si>
  <si>
    <t>Animal Dragon</t>
  </si>
  <si>
    <t>Deploy: Take an additional Turn.</t>
  </si>
  <si>
    <t>Eclipsing suns and moons in its flight, the Starborne Basilisk weaves the future and past into the tapestry of the present.</t>
  </si>
  <si>
    <t>M, M, N, N, ?, ?, ?</t>
  </si>
  <si>
    <t>Trained War Elephant</t>
  </si>
  <si>
    <t>Deploy: Gain +1 Power for each friendly Mortal Crystal.</t>
  </si>
  <si>
    <t>A titan among soldiers, its tusks carve a path of destruction, turning enemy lines into mere memories.</t>
  </si>
  <si>
    <t>M, M, N, ?</t>
  </si>
  <si>
    <t>Entwining Creeper</t>
  </si>
  <si>
    <t>Insect Plant</t>
  </si>
  <si>
    <t>Ritual of Plant: Gain +4 Power. Ritual of Insect: Draw a Card.</t>
  </si>
  <si>
    <t>N, ?, ?, ?</t>
  </si>
  <si>
    <t>Fairgrove Dryad</t>
  </si>
  <si>
    <t>Ascend: Plant. When this ascends, draw the top Plant of your Deck. Shuffle your Deck.</t>
  </si>
  <si>
    <t>Fairy Fountain</t>
  </si>
  <si>
    <t>Spirit Construct</t>
  </si>
  <si>
    <t>Crystallize: Gain Crystalborn. Each Player draws 2 Cards.</t>
  </si>
  <si>
    <t>A hidden glade where the water whispers ancient spells, and the air shimmers with pixie dust.</t>
  </si>
  <si>
    <t>Goliath Beetle</t>
  </si>
  <si>
    <t>With strength unrivaled, it moves with ease, crushing canopy and forest beneath its mighty carapace.</t>
  </si>
  <si>
    <t>N, N, ?, ?, ?, ?, ?</t>
  </si>
  <si>
    <t>Green Crusader</t>
  </si>
  <si>
    <t>Crusader Warrior</t>
  </si>
  <si>
    <t>Grizzly Trap</t>
  </si>
  <si>
    <t>Ambush: This Turn, your Opponent conquered this Lane. Unearth: Bury an enemy Unit with the highest Power in this Lane.</t>
  </si>
  <si>
    <t>No wild monster can escape its iron jaws, be it bear or behemoth.</t>
  </si>
  <si>
    <t>Little Lamb</t>
  </si>
  <si>
    <t>Ascend: Animal. Whenever a friendly Animal Unit is deployed adjacently, gain +1 Power.</t>
  </si>
  <si>
    <t>Mantis Queen</t>
  </si>
  <si>
    <t>Hunter Insect</t>
  </si>
  <si>
    <t>Deploy: Unearth a friendly Unit with Ambush. Draw a Card for each other friendly Hunter Unit.</t>
  </si>
  <si>
    <t>"The air thrums with the wings of her swarm. The Mantis Queen, a silent empress, orchestrates the chaos into a symphony. I am, against my better judgment, in awe."</t>
  </si>
  <si>
    <t>N, N, ?, ?, ?</t>
  </si>
  <si>
    <t>Packhunting Crystalbeast</t>
  </si>
  <si>
    <t>Dinosaur Hunter</t>
  </si>
  <si>
    <t>Ally of Dinosaur: You may return an adjacent Unit to its Owner's Hand.</t>
  </si>
  <si>
    <t>Gladehost Kyudo Master</t>
  </si>
  <si>
    <t>Bannerbearer Human Hunter</t>
  </si>
  <si>
    <t>Within the silent woods, his arrow flies true, a dance of precision and harmony with nature's rhythm.</t>
  </si>
  <si>
    <t>M, N</t>
  </si>
  <si>
    <t>Pebble Gekko</t>
  </si>
  <si>
    <t>Crystallize: A friendly Unit gains Fear.</t>
  </si>
  <si>
    <t>Its stony eyes hold a timeless curse, turning the living to monuments of their last moments.</t>
  </si>
  <si>
    <t>Chalice Bloodbrewer</t>
  </si>
  <si>
    <t>Angel Undead</t>
  </si>
  <si>
    <t>Deploy: Bury a friendly Mortal Crystal and gain its Power.</t>
  </si>
  <si>
    <t>In her ancient veins flows the command of night's children, her will bending the undead to her dark desires.</t>
  </si>
  <si>
    <t>M, V, V, ?</t>
  </si>
  <si>
    <t>Platinum Ladybug</t>
  </si>
  <si>
    <t>Deploy: Draw the top Nature Unit with 5 or more Power. Shuffle your Deck.</t>
  </si>
  <si>
    <t>In its gleaming flight, the secrets of the wild are revealed, a tiny harbinger of nature's forces.</t>
  </si>
  <si>
    <t>Primal Horde</t>
  </si>
  <si>
    <t>Crystallize: Unleash &lt;?&gt;&lt;?&gt;&lt;?&gt;&lt;?&gt;: Deploy the top Animal of your Deck. Your Opponent draws a Card.</t>
  </si>
  <si>
    <t>To this day, seekers of truth and hunters of legend traverse the ends of the earth, hoping to catch but a glimpse of the Crystal Behemoth. For it is said that to look upon it is to grasp the threads that weave the fabric of existence itself.</t>
  </si>
  <si>
    <t>N, N, N, ?, ?, ?</t>
  </si>
  <si>
    <t>Prowling Puma</t>
  </si>
  <si>
    <t>Ally of Animal: Deploy the top Animal with 3 or less Power of your Deck adjacently.</t>
  </si>
  <si>
    <t>Raider of the Crystal Catacombs</t>
  </si>
  <si>
    <t>Conquer: Crystallize the top three Cards of your Deck.</t>
  </si>
  <si>
    <t>Traps? Curses? Just a regular day for him in the hunt for relics better left buried.</t>
  </si>
  <si>
    <t>N, N, ?</t>
  </si>
  <si>
    <t>Roar from the Past</t>
  </si>
  <si>
    <t>Dinosaur Spirit</t>
  </si>
  <si>
    <t>Start of your Turn: A friendly Nature Crystal gains Crystalborn. Whenever you deploy a Dinosaur from your Crystal Zone, it gains +2 Power.</t>
  </si>
  <si>
    <t>Beneath the earth, it stirred, the first to rise; a colossus in crystal, calling its kin from age-old slumber. 'Awaken,' it roared, and the ground obeyed.</t>
  </si>
  <si>
    <t>Forsaken Aristocrat</t>
  </si>
  <si>
    <t>Bannerbearer Human Undead</t>
  </si>
  <si>
    <t>Once adored in grand halls, now lurking in shadowed corners, thirsting for more than just respect.</t>
  </si>
  <si>
    <t>Necromancer</t>
  </si>
  <si>
    <t>Deploy: Deploy a friendly Spirit Crystal or friendly Undead Crystal adjacently.</t>
  </si>
  <si>
    <t>In the forgotten corners of the realm, he crafts his rebellion, an army born of death and bound to his dark will.</t>
  </si>
  <si>
    <t>M, M, V, ?, ?</t>
  </si>
  <si>
    <t>Rootseed Snapscale</t>
  </si>
  <si>
    <t>Ally of 6+ Cost: Gain Taunt and +3 Power.</t>
  </si>
  <si>
    <t>"Der Hurensohn"</t>
  </si>
  <si>
    <t>Spectra Stick Bug</t>
  </si>
  <si>
    <t>Ally of Insect: You may deploy an Insect from your Hand.</t>
  </si>
  <si>
    <t>Among the greenery, it thrives as nature's artful imitator, a spectral insect hiding in plain sight.</t>
  </si>
  <si>
    <t>Duke of the Grove</t>
  </si>
  <si>
    <t>Deploy: Deploy a friendly Plant Crystal adjacently.</t>
  </si>
  <si>
    <t>In his verdant realm, he summons life with a mere thought, master of the green and growing.</t>
  </si>
  <si>
    <t>Astral Unicorn</t>
  </si>
  <si>
    <t>Deploy: Gain +1 Power for each Realm of friendly Crystals.</t>
  </si>
  <si>
    <t>Bathed in starlight, it roams the world, a mystical beacon in the vastness of the night sky.</t>
  </si>
  <si>
    <t>Sylvan Gamekeeper</t>
  </si>
  <si>
    <t>Hunter Plant</t>
  </si>
  <si>
    <t>Ritual of Hunter: Up to three friendly Units with the lowest Powers gain +1 Power.</t>
  </si>
  <si>
    <t>Jolly Tamarin</t>
  </si>
  <si>
    <t>Ambush: This Turn, you glimpsed. Unearth: Draw a Card.</t>
  </si>
  <si>
    <t>Among the treetops, its laughter echoes, a sprightly trickster with treasures hidden in the green vaults above.</t>
  </si>
  <si>
    <t>Emerald Fang Cobra</t>
  </si>
  <si>
    <t>Ambush: An enemy Crystal was crystallized this Turn.</t>
  </si>
  <si>
    <t>Its venomous fangs gleam like emeralds in the shadows, a silent harbinger of nature's treacherous beauty.</t>
  </si>
  <si>
    <t>Shadowpounce Panther</t>
  </si>
  <si>
    <t>Ambush: An enemy Unit was deployed adjacently this Turn. Unearth: You may move this.</t>
  </si>
  <si>
    <t>Master of the jungle's dark heart, its every step is a silent threat, a hunter cloaked in near-invisible menace.</t>
  </si>
  <si>
    <t>Tiger Matriarch</t>
  </si>
  <si>
    <t>Deploy: Another friendly Nature Unit in this Lane gains +2 Power and Ward.</t>
  </si>
  <si>
    <t>Sovereign of stripes and fangs, she embodies the jungle's heart, fierce and nurturing in her dominion.</t>
  </si>
  <si>
    <t>Tainted Jade Mycomancer</t>
  </si>
  <si>
    <t>Ally of Insect or Plant: You may bury this to deploy a friendly Insect or Plant Crystal adjacently.</t>
  </si>
  <si>
    <t>From his vials emerge not just elixirs, but legions of insects, bred for battle's chaotic dance.</t>
  </si>
  <si>
    <t>Calming Apparition</t>
  </si>
  <si>
    <t>Bathed in an otherworldly glow, it guides lost souls through the cold, a beacon of peace in the hushed wilderness.</t>
  </si>
  <si>
    <t>N</t>
  </si>
  <si>
    <t>Amethyst Argosaurus</t>
  </si>
  <si>
    <t>Crystallize: A friendly Dinosaur Crystal gains Crystalborn.</t>
  </si>
  <si>
    <t>Veined with amethyst shards, its massive form pulsates with raw, unbridled energy.</t>
  </si>
  <si>
    <t>Trickster Sprite</t>
  </si>
  <si>
    <t>Deploy: You may return an adjacent friendly Unit to your Hand to gain +3 Power.</t>
  </si>
  <si>
    <t>Venomleaf Croaker</t>
  </si>
  <si>
    <t xml:space="preserve">Deploy: Gains +1 Power for each adjacent Plant. </t>
  </si>
  <si>
    <t>Leafy and lethal, a true monarch of the underbrush.</t>
  </si>
  <si>
    <t>Jeweled Triceratops</t>
  </si>
  <si>
    <t xml:space="preserve">Deploy: Unleash &lt;N&gt;&lt;N&gt;&lt;N&gt;: Glimpse 1 and crystallize the top Card of your Deck. </t>
  </si>
  <si>
    <t>Imbued with crystalline power, its every charge shimmers with the energy of the shattered cosmos.</t>
  </si>
  <si>
    <t>Alpha of the Stampede</t>
  </si>
  <si>
    <t>Deploy: Move a friendly Dinosaur Unit into an adjacent empty Slot.</t>
  </si>
  <si>
    <t>Caring Matriarch</t>
  </si>
  <si>
    <t>Deploy: You may crystallize the top Card of your Deck.</t>
  </si>
  <si>
    <t>Beneath a caring guise, ferocity lurks; woe to those who threaten her brood in the wild depths.</t>
  </si>
  <si>
    <t>Verdant Sakura Tree</t>
  </si>
  <si>
    <t>Crystallize: All friendly Plants gain +1 Power.</t>
  </si>
  <si>
    <t>Atop the mountains, where life was thought to wither, it stands as a testament to nature's enduring beauty, a bloom eternal.</t>
  </si>
  <si>
    <t>Gigantic Terrormaw</t>
  </si>
  <si>
    <t>From the depths of the mangroves, devastation awoke.</t>
  </si>
  <si>
    <t>Shardtooth</t>
  </si>
  <si>
    <t>Ambush: A Unit was deployed this Turn. Unearth: An adjacent friendly Unit gains Ward.</t>
  </si>
  <si>
    <t>One Eyed Dread</t>
  </si>
  <si>
    <t>Dinosaur Demon</t>
  </si>
  <si>
    <t>Crystallize: Gain Crystalborn. Deploy: Gain Fear.</t>
  </si>
  <si>
    <t>The jungle quivers under its cyclopean stare.</t>
  </si>
  <si>
    <t>N, N, N, ?, ?</t>
  </si>
  <si>
    <t>Raptor Pack</t>
  </si>
  <si>
    <t>Ambush: Your Opponent controls six or more Crystals.</t>
  </si>
  <si>
    <t>Their coordinated strikes are as fearsome as they are efficient, a terror to all who tread their domain.</t>
  </si>
  <si>
    <t>Forgotten Ancient</t>
  </si>
  <si>
    <t>Nature Void</t>
  </si>
  <si>
    <t>Dinosaur Undead</t>
  </si>
  <si>
    <t>Ambush: This Turn, your Opponent conquered this Lane. Unearth: Unearth all adjacent Units.</t>
  </si>
  <si>
    <t>Life leads to Death, and Death calls back Life.</t>
  </si>
  <si>
    <t>N, N, V, V, ?, ?, ?</t>
  </si>
  <si>
    <t>Nurturing Rootsaurus</t>
  </si>
  <si>
    <t>Dinosaur Plant</t>
  </si>
  <si>
    <t>Deploy: Unleash &lt;N&gt;&lt;N&gt;&lt;N&gt;: +4 Power.</t>
  </si>
  <si>
    <t>Among the ancient ferns, it reigns as a guardian of growth.</t>
  </si>
  <si>
    <t>Locust Swarm</t>
  </si>
  <si>
    <t>Demon Insect</t>
  </si>
  <si>
    <t xml:space="preserve">Deploy: You may deploy an Insect from your Hand. </t>
  </si>
  <si>
    <t>In their buzzing, a grim prophecy fulfilled; fields and hopes alike are consumed beneath their dark cloud.</t>
  </si>
  <si>
    <t>N, V, ?, ?</t>
  </si>
  <si>
    <t>Bloodthrone Familiar</t>
  </si>
  <si>
    <t>Crystallize: Unleash &lt;?&gt;&lt;?&gt;&lt;?&gt;&lt;?&gt;&lt;?&gt;: Unearth a friendly Undead Unit. When this gets buried, obscure 2.</t>
  </si>
  <si>
    <t>Soaring through the night, it gathers whispers and secrets, loyal only to its vampiric sovereign.</t>
  </si>
  <si>
    <t>V</t>
  </si>
  <si>
    <t>Carnage Hornet</t>
  </si>
  <si>
    <t xml:space="preserve">Ambush: A Unit was deployed adjacently this Turn. Unearth: You may bury an adjacent friendly Unit to gain its Power. </t>
  </si>
  <si>
    <t>In the buzz of its wings, one hears the whispers of merciless destruction.</t>
  </si>
  <si>
    <t>V, V, ?, ?, ?</t>
  </si>
  <si>
    <t>Tainted Jade Monstrosity</t>
  </si>
  <si>
    <t>Deploy: Crystallize the top two Cards of your Deck. Each Player buries three Crystals.</t>
  </si>
  <si>
    <t>A creature of both life and decay, it embodies the Tainted Jade's perilous dance with nature's hidden forces.</t>
  </si>
  <si>
    <t>N, N, N, ?, ?, ?, ?</t>
  </si>
  <si>
    <t>Saurian Wraith</t>
  </si>
  <si>
    <t>Deploy: Gain +3 Power if you have a Dinosaur Crystal.</t>
  </si>
  <si>
    <t>Echoing from ancient times, its ghostly form strikes terror, a spectral predator from a forgotten age.</t>
  </si>
  <si>
    <t>Arcane Gorgosaur</t>
  </si>
  <si>
    <t>Dinosaur Wizard</t>
  </si>
  <si>
    <t>Deploy and Crystallize: Unleash &lt;N&gt;&lt;N&gt;&lt;N&gt;&lt;N&gt;: Deploy the top Card of your Deck.</t>
  </si>
  <si>
    <t>A behemoth of prehistoric mysticism, it commands the elements, sculpting the world as it has for eons.</t>
  </si>
  <si>
    <t>N, N</t>
  </si>
  <si>
    <t>Champion from Hell</t>
  </si>
  <si>
    <t>Demon Warrior</t>
  </si>
  <si>
    <t>Deploy: Your Opponent buries all of their adjacent Units except one.</t>
  </si>
  <si>
    <t>How can your meager mortal minds not grasp the concept of 'one versus one'?</t>
  </si>
  <si>
    <t>V, V, ?, ?, ?, ?, ?</t>
  </si>
  <si>
    <t>Venus Flytrap</t>
  </si>
  <si>
    <t>Ambush: An enemy Unit was deployed adjacently this Turn. Unearth: Bury an adjacent enemy Unit with 4 or less Power.</t>
  </si>
  <si>
    <t>What appears a mere plant masks a deadly trap, capable of snapping shut on much more than flies.</t>
  </si>
  <si>
    <t>Colorgorger</t>
  </si>
  <si>
    <t>Demon</t>
  </si>
  <si>
    <t>Crystallize: If you control a Demon Unit, bury an enemy Crystal.</t>
  </si>
  <si>
    <t>It nibbles away at colors, sapping strength from the very essence of its prey.</t>
  </si>
  <si>
    <t>V, ?, ?</t>
  </si>
  <si>
    <t>Dark Spoon</t>
  </si>
  <si>
    <t>Deploy: Your Opponent puts a Card from their Hand beneath their Deck.</t>
  </si>
  <si>
    <t>Beware the kitchenware that whispers secrets of chaos.</t>
  </si>
  <si>
    <t>V, ?</t>
  </si>
  <si>
    <t>Leech Dragonfly</t>
  </si>
  <si>
    <t>Deploy: Move all Tokens from an adjacent Unit to a friendly Insect Unit.</t>
  </si>
  <si>
    <t>In its swift flight lies a deadly purpose, a tiny terror with the power to fell giants.</t>
  </si>
  <si>
    <t>Dawnbreak Wendigo</t>
  </si>
  <si>
    <t>Deploy: If you are trailing in Lanes, draw a card.</t>
  </si>
  <si>
    <t>trail</t>
  </si>
  <si>
    <t>Depthdragger</t>
  </si>
  <si>
    <t>Deploy: Put any number of Cards from your Hand at the Bottom of your Deck and draw that many plus one.</t>
  </si>
  <si>
    <t>Artifact</t>
  </si>
  <si>
    <t>Plunderpillar</t>
  </si>
  <si>
    <t>Deploy: Move a Token from an adjacent Unit to a friendly Insect.</t>
  </si>
  <si>
    <t>As it devours the ambient energy, the enigma of its final form keeps all who witness it guessing, a tiny creature with boundless potential.</t>
  </si>
  <si>
    <t>Pollen Buzz</t>
  </si>
  <si>
    <t>Deploy: For each friendly Nature Crystal, the friendly Unit with the lowest Power gains +1 Power.</t>
  </si>
  <si>
    <t>The outstanding blooming beauty of the Selen flower fields are the outcome of yet another one of nature's happy accidents.</t>
  </si>
  <si>
    <t>Nurseplant</t>
  </si>
  <si>
    <t>Ally of Plant: Draw a Card.</t>
  </si>
  <si>
    <t>In the heart of the forest's embrace, it stands as a healer and guardian.</t>
  </si>
  <si>
    <t>Discarded Abomination</t>
  </si>
  <si>
    <t>Deploy: Gain Fear. Crystallize: Obscure 2 for each Lane you trail by.</t>
  </si>
  <si>
    <t>V, ?, ?, ?, ?</t>
  </si>
  <si>
    <t>Nutrient Nexus</t>
  </si>
  <si>
    <t>Deploy: Adjacent friendly Plant Units gain +2 Power.</t>
  </si>
  <si>
    <t>Roots deep in ancient soil, it weaves life into every leaf and vine, a pulse of growth in the wilderness.</t>
  </si>
  <si>
    <t>Doomgaze Overlord</t>
  </si>
  <si>
    <t>Start of your Turn: Randomly obscure 1 or gain +2 Power.</t>
  </si>
  <si>
    <t>V, V, V, ?, ?, ?</t>
  </si>
  <si>
    <t>Darkwood Tracker</t>
  </si>
  <si>
    <t>Plant Hunter</t>
  </si>
  <si>
    <t>Ambush: This Turn, an Enemy Unit was deployed in this Lane. Unearth: Draw the top Hunter of your Deck.</t>
  </si>
  <si>
    <t>Where the forest's embrace tightens into a snare, her guidance is a gentle reprieve, her aim true against threats unseen.</t>
  </si>
  <si>
    <t>Living Thicket</t>
  </si>
  <si>
    <t>Plant Spirit</t>
  </si>
  <si>
    <t>Amidst the emerald canopy, the heart of the forest is beating.</t>
  </si>
  <si>
    <t>Sunflower Sprite</t>
  </si>
  <si>
    <t>Whenever a friendly Nature Unit is deployed adjacently, gain +2 Power.</t>
  </si>
  <si>
    <t>As the sun's warmth bathes the world, it spreads its wings of harmony, a sprite that nurtures unity among nature's children.</t>
  </si>
  <si>
    <t>Dread Cryptlord</t>
  </si>
  <si>
    <t>Deploy: If you are trailing in Lanes, all friendly Undead Unit gain +2 Power.</t>
  </si>
  <si>
    <t>Rotting Alicorn</t>
  </si>
  <si>
    <t>Deploy: You may copy the Ability of another Unit.</t>
  </si>
  <si>
    <t>Once pure, now tainted, it mirrors the darkest magics, twisting them with its own corruption.</t>
  </si>
  <si>
    <t>N, V, V, ?</t>
  </si>
  <si>
    <t>Fatepeek Imp</t>
  </si>
  <si>
    <t>Deploy: Obscure once.</t>
  </si>
  <si>
    <t>Gravebound Ghoul</t>
  </si>
  <si>
    <t>When this gets buried, an adjacent friendly Unit gains Power equal to this Unit's Power.</t>
  </si>
  <si>
    <t>In the echo of a necromancer's neglect, it haunts, forever confined to its unintended crypt.</t>
  </si>
  <si>
    <t>Tainted Jade Initiate</t>
  </si>
  <si>
    <t>Bannerbearer Plant Undead</t>
  </si>
  <si>
    <t>Embracing the jungle's forbidden elixirs, he communes with spirits unseen, a disciple of mysteries dark and profound.</t>
  </si>
  <si>
    <t>N, V</t>
  </si>
  <si>
    <t>Graverobber</t>
  </si>
  <si>
    <t>Deploy: You may return a friendly Construct Unit to your Hand.</t>
  </si>
  <si>
    <t>In the dead of night, where tombstones loom, he finds kin amidst the gloom.</t>
  </si>
  <si>
    <t>V, V, ?, ?, ?, ?</t>
  </si>
  <si>
    <t>Greedspawn</t>
  </si>
  <si>
    <t>Deploy: Gain +2 Power for each Rare Unit.</t>
  </si>
  <si>
    <t>Every precious artifact, every rare jewel, amplifies its ravenous strength.</t>
  </si>
  <si>
    <t>Grim Titan</t>
  </si>
  <si>
    <t>Ally of Demon: Crystallize the top two Cards of your Deck and bury them.</t>
  </si>
  <si>
    <t>V, V, ?, ?</t>
  </si>
  <si>
    <t>Hungry Shambler</t>
  </si>
  <si>
    <t>Crystalblight Undead</t>
  </si>
  <si>
    <t>Deploy: Each Player buries one of their Crystals.</t>
  </si>
  <si>
    <t>In its relentless shuffle, there's but one thought: feed, feed, feed.</t>
  </si>
  <si>
    <t>Necroconut Crab</t>
  </si>
  <si>
    <t>Deploy: Gain +1 Power for each buried Unit and buried Crystal.</t>
  </si>
  <si>
    <t>Giant Demon Coconut Crab</t>
  </si>
  <si>
    <t>N, N, V, ?</t>
  </si>
  <si>
    <t>The Forsaken King</t>
  </si>
  <si>
    <t>Angel Demon</t>
  </si>
  <si>
    <t xml:space="preserve">Ritual of Angel: Gain +2 Power, Taunt and Ward. Ritual of Demon: Draw 3 Cards. </t>
  </si>
  <si>
    <t>In his fall, a kingdom was born, straddling the blurred lines between redemption and ruin.</t>
  </si>
  <si>
    <t>Meekbone Soldier</t>
  </si>
  <si>
    <t xml:space="preserve">Start of Turn: If you are trailing in Lanes, gain +1 Power. </t>
  </si>
  <si>
    <t>Monarch of Shadows</t>
  </si>
  <si>
    <t>Start of Turn: Gain +1 Power for each buried Unit.</t>
  </si>
  <si>
    <t>Each secret interred feeds his dark dominion; for him, every grave is a fount of power.</t>
  </si>
  <si>
    <t>Nightmare Penguin</t>
  </si>
  <si>
    <t>What was whispered as a tale to scare children skulks in the darkness, a terrifying truth behind the fable.</t>
  </si>
  <si>
    <t>Omenshadow</t>
  </si>
  <si>
    <t>Crystallize: Obscure 2.</t>
  </si>
  <si>
    <t>Once ignored, her prophecies lingered in the air like mist—unseen, unheard, unwelcome. Now, she weaves the future with her own hands, a dark tapestry to force the eyes of the world wide open.</t>
  </si>
  <si>
    <t>Possessed Vermin Brood</t>
  </si>
  <si>
    <t>Ambush: An enemy Unit was deployed adjacently this Turn. Unearth: Gain Taunt.</t>
  </si>
  <si>
    <t>A swarm tainted by darkness, their numbers are as endless as their hunger.</t>
  </si>
  <si>
    <t>Skull Crow</t>
  </si>
  <si>
    <t>Deploy: Your Opponent buries one of their Units.</t>
  </si>
  <si>
    <t>With eyes like ghostly lanterns, the guardian of the graveyards watches from above.</t>
  </si>
  <si>
    <t>Grinning Amphora</t>
  </si>
  <si>
    <t>Deploy: Draw two Cards.</t>
  </si>
  <si>
    <t>Its grin speaks of boundless greed, yet none truly know its purpose.</t>
  </si>
  <si>
    <t>Obsidian Scarab</t>
  </si>
  <si>
    <t>Born from the darkest sands, its shell holds the secrets of eternity.</t>
  </si>
  <si>
    <t>Purple Crusader</t>
  </si>
  <si>
    <t>With every swing of his blade, he sought to cleave the dark. But the void is patient; it seeped into his will, transforming his resolve into the very essence of what he once vanquished.</t>
  </si>
  <si>
    <t>Foul Corruptor</t>
  </si>
  <si>
    <t>Ritual: All friendly Void Units gain +1 Power.</t>
  </si>
  <si>
    <t>In her gaze lies the downfall of purity; in her touch, the rot of empires.</t>
  </si>
  <si>
    <t>Reborn Stargazer</t>
  </si>
  <si>
    <t>Start of your Turn: You may bury this to glimpse 3. Unearth: Obscure 3.</t>
  </si>
  <si>
    <t>Once a herald of dawn, now a specter of dusk, it yearns for the light it has lost.</t>
  </si>
  <si>
    <t>Relentless Guardian</t>
  </si>
  <si>
    <t>Construct Crystalblight Undead</t>
  </si>
  <si>
    <t>When this gets buried, unearth it and bury a friendly Crystal.</t>
  </si>
  <si>
    <t>"Warn...ing: Bl-blight, it creeps... I-I, still s-stand. Fight, must keep... Dark, d-deep. Not... give in."</t>
  </si>
  <si>
    <t>V, ?, ?, ?</t>
  </si>
  <si>
    <t>Intrusive Advisor</t>
  </si>
  <si>
    <t xml:space="preserve">Deploy: Draw two Cards, then put two Cards from your Hand to the bottom of the Deck. </t>
  </si>
  <si>
    <t>A demon's counsel is a double-edged sword; one edge cuts through lies, the other through the listener.</t>
  </si>
  <si>
    <t>Abyssal Silencer</t>
  </si>
  <si>
    <t>Demon Hunter</t>
  </si>
  <si>
    <t>Deploy: Bury an adjacent enemy Unit with equal or lower Power than this.</t>
  </si>
  <si>
    <t>An assassin cloaked in the stillness of the abyss, where space bends to his will.</t>
  </si>
  <si>
    <t>Runic Arachnid</t>
  </si>
  <si>
    <t>Ambush: An enemy Unit was deployed adjacently this Turn. Unearth: Copy the 'Deploy' ability of an adjacent enemy Unit and return that Unit to its Owners Hand.</t>
  </si>
  <si>
    <t>Its webs drip with ancient curses, a trap not just for the flesh, but for the essence of magic itself.</t>
  </si>
  <si>
    <t>Nethersilk Moth</t>
  </si>
  <si>
    <t>Whenever a friendly Void Unit is deployed adjacently, gain +2 Power.</t>
  </si>
  <si>
    <t>Drawn to the void's cold embrace, each nearby shadow fuels its ghostly wings.</t>
  </si>
  <si>
    <t>Symbiotic Crawler</t>
  </si>
  <si>
    <t>Demon Plant</t>
  </si>
  <si>
    <t>Deploy: Another friendly Void Unit in this Lane gains +1 Power and Fear.</t>
  </si>
  <si>
    <t>In the shadow of its tendrils, life withers, feeding this sinister, parasitic growth.</t>
  </si>
  <si>
    <t>Sanguine Teapot</t>
  </si>
  <si>
    <t>Deploy: Your Opponent buries two Crystals.</t>
  </si>
  <si>
    <t>"Item #0871: One (1) teapot, ceramic, seemingly benign but reputedly infused with malevolent energies. Note: Handle with care (and perhaps a prayer). Recommend storage: Restricted section, far from any actual tea ceremonies."</t>
  </si>
  <si>
    <t>Nightreaper</t>
  </si>
  <si>
    <t>Deploy: Gain Fear. Bury a friendly Unit and a friendly Crystal.</t>
  </si>
  <si>
    <t>Cloaked in midnight, he reaps souls with a blade that slices through fate and time, an eternal arbiter of the inevitable.</t>
  </si>
  <si>
    <t>Shrouded Trickster</t>
  </si>
  <si>
    <t>Crystalblight Demon</t>
  </si>
  <si>
    <t>Crystallize: Until end of turn, all buried Crystals become all Realms.</t>
  </si>
  <si>
    <t>The demon, in its naïve malice, delights in the havoc of the blight, oblivious to the fact that it is but a pawn in a game played by shadows far deeper than its own dark whims.</t>
  </si>
  <si>
    <t>Slumbering Fiend</t>
  </si>
  <si>
    <t>Unearth: Gain +6 Power.</t>
  </si>
  <si>
    <t>They mourned him, as is the way of the living, until the grave unbound him. There he stood again among them, a presence both familiar and unsettling, marked by the passage through death's own door.</t>
  </si>
  <si>
    <t>Thoughtfeaster</t>
  </si>
  <si>
    <t>Deploy: Gain Fear. Obscure once. Reveal the bottom Card of your Opponent's Deck and gain Power equal to its Power.</t>
  </si>
  <si>
    <t>"Day 25: Another night, another visitation. Demon plays with us, a game of cat and mouse. It's there one moment, eyes gleaming and all, and then nothing but shadows. Men are on edge, their dreams poisoned by its taunting laughter."</t>
  </si>
  <si>
    <t>Tombstone Carver</t>
  </si>
  <si>
    <t>Deploy: Deploy the top Undead of your Deck buried adjacently. Shuffle your Deck.</t>
  </si>
  <si>
    <t>In each chiseled line, a story ends.</t>
  </si>
  <si>
    <t>Hellblade</t>
  </si>
  <si>
    <t>Forged in the deepest fires, sheathed in eternal darkness.</t>
  </si>
  <si>
    <t>Ill-Tempered Imp</t>
  </si>
  <si>
    <t>Within its volatile gaze lies a mischief only the brave dare to decipher.</t>
  </si>
  <si>
    <t>Umbral Nexus</t>
  </si>
  <si>
    <t>Plant Undead</t>
  </si>
  <si>
    <t>Deploy: Gain Taunt. Ascend: Void.</t>
  </si>
  <si>
    <t>To the unsuspecting eye, it's merely flora, yet its roots delve deep, siphoning malice from the earth. Its pollen whispers dark thoughts to those who wander too close.</t>
  </si>
  <si>
    <t>Ghoulflesh Devourer</t>
  </si>
  <si>
    <t>Whenever an enemy Unit with less Power is deployed adjacently, gain +1 Power.</t>
  </si>
  <si>
    <t>Feasting on the meek, it grows ever stronger, a monstrous amalgam of death and dragon might.</t>
  </si>
  <si>
    <t>Voidkiss Siren</t>
  </si>
  <si>
    <t xml:space="preserve">Ascend: Demon. Deploy: Your Opponent puts a Card from their Hand at the Bottom of their Deck. When this ascends, draw two Cards. </t>
  </si>
  <si>
    <t>Her summoners are granted the boon of her power, but at the cost of witnessing her unfettered vengeance upon any slight, real or imagined, leaving them in silent horror at the chaos wrought in their name.</t>
  </si>
  <si>
    <t>Voodoo Doctor</t>
  </si>
  <si>
    <t>Undead Wizard</t>
  </si>
  <si>
    <t xml:space="preserve">Whenever a Common Unit is deployed adjacently, obscure once. </t>
  </si>
  <si>
    <t>By the light of a jade flame, the ritual unfolds, a macabre spectacle of devotion. The cultists seek not salvation, but the embrace of a power so ancient, its name has been swallowed by the mists of time.</t>
  </si>
  <si>
    <t>Emissary of Darkness</t>
  </si>
  <si>
    <t>Deploy: Draw the top Demon of your Deck. Shuffle your Deck.</t>
  </si>
  <si>
    <t>Beneath a starless sky, the Emissary's incantations echo, as demons heed his silent call.</t>
  </si>
  <si>
    <t>Shadowsting Scorpion</t>
  </si>
  <si>
    <t>Ambush: An enemy Unit was deployed adjacently this Turn. Unearth: Bounce an adjacent Unit.</t>
  </si>
  <si>
    <t>Death's whisper on eight silent legs.</t>
  </si>
  <si>
    <t>Whispering Tome</t>
  </si>
  <si>
    <t>Deploy: Search your Deck for a Card and draw it. Shuffle your Deck.</t>
  </si>
  <si>
    <t>Decimus's folly was believing he could master the tome's ancient power without consequence. With every incantation learned, his essence was siphoned away, replaced by a darkness eager to spread beyond the confines of its pages.</t>
  </si>
  <si>
    <t>Bloodthrone Sovereign</t>
  </si>
  <si>
    <t>Hunter Undead</t>
  </si>
  <si>
    <t>Ritual: Gain +4 Power. Ritual: Gain +4 Power.</t>
  </si>
  <si>
    <t>Her throne, a monument to eternal night; her will, an unyielding dominion over darkness.</t>
  </si>
  <si>
    <t>Choking Vines</t>
  </si>
  <si>
    <t>Crystalblight Plant</t>
  </si>
  <si>
    <t>Deploy: Bury a friendly Crystal to glimpse 1.</t>
  </si>
  <si>
    <t>The forests whisper of a creeping doom, one that leeches the vitality from the very soil, rendering the land barren of its arcane gifts.</t>
  </si>
  <si>
    <t>?</t>
  </si>
  <si>
    <t>Crusader of the Wastelands</t>
  </si>
  <si>
    <t>Amidst the desolation of the wasteland, every drop of water is bloodshed, and every shelter is a battleground, contested by the land's savage inheritors.</t>
  </si>
  <si>
    <t>?, ?, ?</t>
  </si>
  <si>
    <t>Crystalbane Glutton</t>
  </si>
  <si>
    <t>Deploy: Bury three friendly Crystals to draw a Card.</t>
  </si>
  <si>
    <t>The Crystalblight, an arcane affliction, devours the land's magic, turning sanctuaries into silent tombs and vibrant forests into graveyards of petrified wood.</t>
  </si>
  <si>
    <t>?, ?, ?, ?, ?, ?</t>
  </si>
  <si>
    <t>Shroom Behemoth</t>
  </si>
  <si>
    <t>A colossal fusion of fungus and might, looming large from the forest's hidden depths.</t>
  </si>
  <si>
    <t>Crystalline Parasite</t>
  </si>
  <si>
    <t>Crystalblight Insect</t>
  </si>
  <si>
    <t>Deploy: Bury two friendly Crystals to crystallize the top Card of your Deck.</t>
  </si>
  <si>
    <t>Where once there was an abundance of arcane energy, now lies a thirsting emptiness, a testament to the ravages of a silent, unseen hunger.</t>
  </si>
  <si>
    <t>?, ?, ?, ?</t>
  </si>
  <si>
    <t>Bloodthrone Ambassador</t>
  </si>
  <si>
    <t>Ritual: You may play an additional Unit this Turn.</t>
  </si>
  <si>
    <t>Fortune's Favorite</t>
  </si>
  <si>
    <t>Ascend.</t>
  </si>
  <si>
    <t>He walks the earth lightly, for he belongs not to this world but to the ether, where ascension awaits the pure of heart.</t>
  </si>
  <si>
    <t>Forsaken Chronicler</t>
  </si>
  <si>
    <t>When this gets buried, draw a Card.</t>
  </si>
  <si>
    <t>His quill dips in secrets as dark as blood, chronicling the silent reign of the Forsaken over the city's heart.</t>
  </si>
  <si>
    <t>Null Ghost</t>
  </si>
  <si>
    <t>Crystalblight Spirit</t>
  </si>
  <si>
    <t>Deploy: Gain +2 Power for each friendly empty Crystal.</t>
  </si>
  <si>
    <t>Forsaken Serenader</t>
  </si>
  <si>
    <t>Deploy: Glimpse twice for each adjacent Void Unit.</t>
  </si>
  <si>
    <t>In the dim light, his fingers dance across ivory, each note a whisper of timeless longing.</t>
  </si>
  <si>
    <t>Shiverskull</t>
  </si>
  <si>
    <t>Deploy: All friendly Void Units gain Fear.</t>
  </si>
  <si>
    <t>His every step is a reminder of mortality's cruel jest; his blade, a sharp retort.</t>
  </si>
  <si>
    <t>Blightcoven Puppeteer</t>
  </si>
  <si>
    <t>Deploy: You may unearth an adjacent friendly Unit.</t>
  </si>
  <si>
    <t>Every pull, every twitch, an orchestrated horror; the dance of the damned begins.</t>
  </si>
  <si>
    <t>Voidsinger</t>
  </si>
  <si>
    <t>Deploy: Choose one: - Your opponent shuffles 2 Cards from their Hand into their Deck. - Draw two Cards.</t>
  </si>
  <si>
    <t>A serenade from the abyss, its melody fractures reality.</t>
  </si>
  <si>
    <t>Mini Golem</t>
  </si>
  <si>
    <t>Carved from the smallest rocks, yet its resolve stands as tall as the mountains.</t>
  </si>
  <si>
    <t>Clocktower Drake</t>
  </si>
  <si>
    <t>Ticking gears and whirring cogs give life to this marvel; a testament to mortal genius soaring high in the sky.</t>
  </si>
  <si>
    <t>?, ?, ?, ?, ?, ?, ?</t>
  </si>
  <si>
    <t>Realmshifter</t>
  </si>
  <si>
    <t>This Card has all Realms.</t>
  </si>
  <si>
    <t>To shift between worlds is to master the dance of existence.</t>
  </si>
  <si>
    <t>?, ?</t>
  </si>
  <si>
    <t>Shapeshifter</t>
  </si>
  <si>
    <t>This Card always has all Types.</t>
  </si>
  <si>
    <t>One moment a whisper, the next a roar. Who will he be today?</t>
  </si>
  <si>
    <t>Voting Code</t>
  </si>
  <si>
    <t>Shren</t>
  </si>
  <si>
    <t>eyJBbGFiYXN0ZXIgRXhhcmNoIjp7IjAiOiJkYjUyNTc4Yi1jZjYxLTRjYzYtYjczMC0yMWUzYmQxNzUyY2VfMyIsIjIiOiI3YzdiNGM1My0yZjJiLTQ5ZGYtYTZiZi0zN2YyOWI5ZTU3NDZfMyIsImMiOjJ9LCJUaHVuZGVyc3dhcm0gU2tpcm1pc2hlciI6eyIwIjoiMTM1MmFlMWMtZTkzYi00ZWViLTljMmItOGQ0NWVmYzQ3ZjM4XzAiLCIyIjoiZTU4ZDBlZGUtMjFkMC00YjljLTg3YjMtNDc0NWIzMjlmOTdkXzAiLCJjIjoyfSwiRG9tYSBBbmdlbCI6eyIwIjoiZTEwYmY5YjMtM2Q0YS00NThjLWI0ZTktNTk1YzRjZGRkOWJmXzAiLCIxIjoiYmYyYjk3OTctY2E0Ny00MThiLThiNTEtZjczYjE2NmQ3OTRlXzAiLCJjIjoyfSwiRGl2aW5lciBvZiBGYXRlcyI6eyIwIjoiOWIxY2QzYmEtZjBmYi00M2RmLWE1ZGYtYWEwNTU1ZjE4NGUwXzAiLCIxIjoiN2U2NTI0ZDUtZmM0Ny00YTY0LWFjODctNWVjNWE1ZGRhZDRjXzMiLCIyIjoiN2U2NTI0ZDUtZmM0Ny00YTY0LWFjODctNWVjNWE1ZGRhZDRjXzEiLCJjIjozfSwiVHJhbnF1aWwgSGVyZCBTYWdlaG9ybiI6eyIwIjoiZDI1MjBkMzMtNjM4NC00OGUxLWEwYWMtMmI0MGJjYmE5YzY3XzIiLCIxIjoiZWI3NGUzNjMtY2UyMy00MzMzLWJmMWEtOWU0NWI1NDEwNTI4XzMiLCIyIjoiYWU3YzgwMmQtNWJiMy00ZTVjLTkzNWYtMDk4OWY4MzU5ODFiXzMiLCJjIjozfSwiRmFsbGVuIEFuZ2VsIjp7IjAiOiI5MDYyZmM5Ni0zOGFmLTRiOTQtYmI4Yi01ODcyNGVlM2U3ODRfMyIsIjEiOiJkMTk0OTlmYS05OTNlLTQ5MDktOTRlZS0yYjljODc2MWU3OTVfMSIsIjIiOiIyNTkzZWQ2Zi1iNjdhLTRlN2YtYThmOS1hMzYxNTdlZDhmODZfMSIsImMiOjEwfSwiSXZvcnlzY2FyIEVjbGlwc2lvbiI6eyIwIjoiYzI1MjY1NzgtOWViNy00YmZjLWI2Y2QtMGY5ODEzMzM1NDNjXzEiLCIxIjoiNjg2ODc1NTEtYTA2Zi00NTUwLWJjODgtNmM0OWE1OGFjMDI5XzIiLCIyIjoiMTI0NzQxMjgtMDg2My00ZGEyLWFmZjgtOTk3YjczZmU5ODc4XzMiLCJjIjoxMH0sIktvaXMgb2YgRHVhbGl0eSI6eyIwIjoiMDExYTMxOWYtM2VjMi00M2E0LWFlMDctZTMxZTg4YmJjZmNmXzIiLCIxIjoiYTA1YmRhOWUtNTg2ZS00OWRlLThjMzItMGY2ZTQ3ZmQ4ODMxXzIiLCIyIjoiOTU3YTFmNjEtMWMxYi00YTMzLTgyYWItYzE3YmNjNzhkOGY5XzAiLCJjIjo3fSwiVmVybWlsbGlvbiBGaXJlYmlyZCI6eyIwIjoiODU1NTg0YjYtZmY4MS00NDljLWJmYzgtNzc2Yjg5ZTJlMWI2XzIiLCIxIjoiODU1NTg0YjYtZmY4MS00NDljLWJmYzgtNzc2Yjg5ZTJlMWI2XzAiLCIyIjoiODU1NTg0YjYtZmY4MS00NDljLWJmYzgtNzc2Yjg5ZTJlMWI2XzMiLCJjIjo3fSwiU3BlbGwgQ2F0Ijp7IjAiOiJlYTY5ZGIyNy0wMDk0LTQ2YTItOTU3ZC1kZjljNjU4N2NkOGZfMSIsIjEiOiIyM2MyODAwMy1jYjlkLTQyNTItYjQ3ZS1lYjMxYjc5YzQ3NDZfMyIsIjIiOiJjMDE0ZmE3OC05YjU2LTRlOTItOTM4MC0wNWYzYzFiYzYzZjJfMyIsImMiOjZ9LCJUb3JpaSBTcGlyaXQiOnsiMCI6IjExY2VhMGI1LTE1ZjYtNDZlYS05Yzk4LTg1MTQ3YzVkMGMxZF8yIiwiMSI6Ijg3ODU3MThhLTNjZWYtNGQ2Yi1hZGY0LTNmNjExYTNiOTY1ZV8yIiwiMiI6Ijg1NWQ5YWQyLTYwZmEtNDMxNy05MGQ1LWRkZTY5NWFhMzg2M18yIiwiYyI6MTB9LCJSdW5lY3Vyc2VkIFd5dmVybiI6eyIwIjoiYjFmOGYzZDUtNDQ1Zi00Yzc1LThjNjktZGMzYzAwZGQ2YTJhXzEiLCIxIjoiZWZjOTZlZDAtZDg3Yi00ZDI5LWJiODYtZjI5Nzk1NzI4YmY4XzIiLCIyIjoiYjFmOGYzZDUtNDQ1Zi00Yzc1LThjNjktZGMzYzAwZGQ2YTJhXzMiLCJjIjo2fSwiVGVjdG9uaWMgU2hpZnRlciI6eyIwIjoiMDRlMDczNTMtMTdhYi00ODQ2LTg0YmMtODE4YmM0MDJmMDlkXzEiLCIxIjoiZThlOTZmNzYtOTRiZC00MWFlLWIxYmQtNGNhOTZhZWJkZDFlXzMiLCIyIjoiZGE0ODc3MmEtYjRkNC00NGY4LThkNTUtNDI4YzRiNzc1MGRmXzEiLCJjIjo1fX0=</t>
  </si>
  <si>
    <t>Goersy</t>
  </si>
  <si>
    <t>eyJSdW5lY3Vyc2VkIFd5dmVybiI6eyIwIjoiMzA0YWZjZmQtNzg5NC00MDhmLTkwNzUtYjk2NjViMGRhOWJiXzEiLCIxIjoiZWZjOTZlZDAtZDg3Yi00ZDI5LWJiODYtZjI5Nzk1NzI4YmY4XzIiLCIyIjoiM2Y3MDA3NDUtOTNlOS00OTFlLWIzMDItMGYzYjgxMjljZDNhXzMiLCJjIjo2fSwiVG9yaWkgU3Bpcml0Ijp7IjAiOiIxMWNlYTBiNS0xNWY2LTQ2ZWEtOWM5OC04NTE0N2M1ZDBjMWRfMiIsIjEiOiJlZjMxYzhkZS1mNjFlLTQ5NzItODZlOS1hYTlmMTgzMWFmZDVfMCIsIjIiOiIwYzJmY2M1OC0xY2Q1LTRlMmMtOTk1My0wNmFlOTk1MjdhY2NfMyIsImMiOjEwfSwiU3BlbGwgQ2F0Ijp7IjAiOiJkOGE1NmJlNS0wZmU1LTQzNGItYTc3YS1iNjE0Njg3M2VhMWFfMyIsIjEiOiJjMDE0ZmE3OC05YjU2LTRlOTItOTM4MC0wNWYzYzFiYzYzZjJfMyIsIjIiOiJlYTY5ZGIyNy0wMDk0LTQ2YTItOTU3ZC1kZjljNjU4N2NkOGZfMSIsImMiOjZ9LCJWZXJtaWxsaW9uIEZpcmViaXJkIjp7IjAiOiI4MjY3ZGUxMy00NjRiLTQ0NzUtOGI4OS02MzVjYWMwZDcwYmRfMCIsIjEiOiJhMTg3NDZjZi05NzVlLTQ4M2EtOWMwYy05NGMxMzRjZjZhZjJfMSIsIjIiOiI4NTU1ODRiNi1mZjgxLTQ0OWMtYmZjOC03NzZiODllMmUxYjZfMiIsImMiOjd9LCJLb2lzIG9mIER1YWxpdHkiOnsiMCI6IjAxMWEzMTlmLTNlYzItNDNhNC1hZTA3LWUzMWU4OGJiY2ZjZl8yIiwiMSI6IjM0MzAyOTM0LTBjZTItNGQxMi05YjZiLWJjYmZiMmRkMjc0OF8wIiwiMiI6Ijk1N2ExZjYxLTFjMWItNGEzMy04MmFiLWMxN2JjYzc4ZDhmOV8xIiwiYyI6N30sIkl2b3J5c2NhciBFY2xpcHNpb24iOnsiMCI6IjEyNDc0MTI4LTA4NjMtNGRhMi1hZmY4LTk5N2I3M2ZlOTg3OF8zIiwiMSI6IjIxOTM5MmRkLTcyMTctNGQwOC04OGE0LTA3ZmU1NDVlNGU2MF8wIiwiMiI6IjY4Njg3NTUxLWEwNmYtNDU1MC1iYzg4LTZjNDlhNThhYzAyOV8yIiwiYyI6MTB9LCJGYWxsZW4gQW5nZWwiOnsiMCI6IjAyNzY0YWM1LTZiNjktNDY0NS1iMTg2LTZhZGE1YzVmYWVkOF8zIiwiMSI6ImQxOTQ5OWZhLTk5M2UtNDkwOS05NGVlLTJiOWM4NzYxZTc5NV8xIiwiMiI6ImJjZTEzYjE5LWE1YjctNDg5NS05OTFjLWEzNDNlNzI5NWJlYV8yIiwiYyI6MTB9LCJUcmFucXVpbCBIZXJkIFNhZ2Vob3JuIjp7IjAiOiJhZTdjODAyZC01YmIzLTRlNWMtOTM1Zi0wOTg5ZjgzNTk4MWJfMyIsIjEiOiJkMjUyMGQzMy02Mzg0LTQ4ZTEtYTBhYy0yYjQwYmNiYTljNjdfMiIsIjIiOiJlYjc0ZTM2My1jZTIzLTQzMzMtYmYxYS05ZTQ1YjU0MTA1MjhfMyIsImMiOjN9LCJEaXZpbmVyIG9mIEZhdGVzIjp7IjAiOiI5YjFjZDNiYS1mMGZiLTQzZGYtYTVkZi1hYTA1NTVmMTg0ZTBfMCIsIjEiOiI3ZTY1MjRkNS1mYzQ3LTRhNjQtYWM4Ny01ZWM1YTVkZGFkNGNfMSIsIjIiOiI3ZTY1MjRkNS1mYzQ3LTRhNjQtYWM4Ny01ZWM1YTVkZGFkNGNfMyIsImMiOjN9LCJEb21hIEFuZ2VsIjp7IjAiOiJlMTBiZjliMy0zZDRhLTQ1OGMtYjRlOS01OTVjNGNkZGQ5YmZfMCIsIjEiOiJiZjJiOTc5Ny1jYTQ3LTQxOGItOGI1MS1mNzNiMTY2ZDc5NGVfMCIsImMiOjJ9LCJUaHVuZGVyc3dhcm0gU2tpcm1pc2hlciI6eyIwIjoiMTM1MmFlMWMtZTkzYi00ZWViLTljMmItOGQ0NWVmYzQ3ZjM4XzAiLCIxIjoiZTU4ZDBlZGUtMjFkMC00YjljLTg3YjMtNDc0NWIzMjlmOTdkXzAiLCJjIjoyfSwiQWxhYmFzdGVyIEV4YXJjaCI6eyIwIjoiN2M3YjRjNTMtMmYyYi00OWRmLWE2YmYtMzdmMjliOWU1NzQ2XzMiLCIxIjoiZGI1MjU3OGItY2Y2MS00Y2M2LWI3MzAtMjFlM2JkMTc1MmNlXzMiLCIyIjoiMTIzX2EiLCJjIjozfSwiVGVjdG9uaWMgU2hpZnRlciI6eyIwIjoiZGE0ODc3MmEtYjRkNC00NGY4LThkNTUtNDI4YzRiNzc1MGRmXzEiLCIxIjoiYTViMjMzNzQtYzllMC00Y2MzLWFjOWUtN2NjNjkzYWIwN2I2XzEiLCIyIjoiZWUwOGRlYmYtNmRmYS00YzFhLWI2OGQtYWYyODE1ZTI3ZWNkXzAiLCJjIjo1fX0=</t>
  </si>
  <si>
    <t>Bene</t>
  </si>
  <si>
    <t>eyJBbGFiYXN0ZXIgRXhhcmNoIjp7IjAiOiJkYjUyNTc4Yi1jZjYxLTRjYzYtYjczMC0yMWUzYmQxNzUyY2VfMyIsIjEiOiI3YzdiNGM1My0yZjJiLTQ5ZGYtYTZiZi0zN2YyOWI5ZTU3NDZfMyIsImMiOjJ9LCJUaHVuZGVyc3dhcm0gU2tpcm1pc2hlciI6eyIwIjoiMTM1MmFlMWMtZTkzYi00ZWViLTljMmItOGQ0NWVmYzQ3ZjM4XzAiLCIxIjoiZTU4ZDBlZGUtMjFkMC00YjljLTg3YjMtNDc0NWIzMjlmOTdkXzAiLCJjIjoyfSwiRG9tYSBBbmdlbCI6eyIwIjoiYmYyYjk3OTctY2E0Ny00MThiLThiNTEtZjczYjE2NmQ3OTRlXzAiLCIxIjoiZTEwYmY5YjMtM2Q0YS00NThjLWI0ZTktNTk1YzRjZGRkOWJmXzAiLCJjIjoyfSwiRGl2aW5lciBvZiBGYXRlcyI6eyIwIjoiN2U2NTI0ZDUtZmM0Ny00YTY0LWFjODctNWVjNWE1ZGRhZDRjXzMiLCIxIjoiOWIxY2QzYmEtZjBmYi00M2RmLWE1ZGYtYWEwNTU1ZjE4NGUwXzAiLCIyIjoiN2U2NTI0ZDUtZmM0Ny00YTY0LWFjODctNWVjNWE1ZGRhZDRjXzEiLCJjIjozfSwiVHJhbnF1aWwgSGVyZCBTYWdlaG9ybiI6eyIwIjoiZDI1MjBkMzMtNjM4NC00OGUxLWEwYWMtMmI0MGJjYmE5YzY3XzIiLCIxIjoiYWU3YzgwMmQtNWJiMy00ZTVjLTkzNWYtMDk4OWY4MzU5ODFiXzMiLCIyIjoiZWI3NGUzNjMtY2UyMy00MzMzLWJmMWEtOWU0NWI1NDEwNTI4XzMiLCJjIjozfSwiRmFsbGVuIEFuZ2VsIjp7IjAiOiJkMTk0OTlmYS05OTNlLTQ5MDktOTRlZS0yYjljODc2MWU3OTVfMSIsIjEiOiJiY2UxM2IxOS1hNWI3LTQ4OTUtOTkxYy1hMzQzZTcyOTViZWFfMiIsIjIiOiI2NTg1NmE2Mi0wY2M1LTQ3ODktYWVhYS00NDk5YjcxNGQzZTVfMCIsImMiOjEwfSwiSXZvcnlzY2FyIEVjbGlwc2lvbiI6eyIwIjoiYzI1MjY1NzgtOWViNy00YmZjLWI2Y2QtMGY5ODEzMzM1NDNjXzEiLCIxIjoiNjg2ODc1NTEtYTA2Zi00NTUwLWJjODgtNmM0OWE1OGFjMDI5XzIiLCIyIjoiMTI0NzQxMjgtMDg2My00ZGEyLWFmZjgtOTk3YjczZmU5ODc4XzMiLCJjIjoxMH0sIktvaXMgb2YgRHVhbGl0eSI6eyIwIjoiOTU3YTFmNjEtMWMxYi00YTMzLTgyYWItYzE3YmNjNzhkOGY5XzAiLCIxIjoiMDExYTMxOWYtM2VjMi00M2E0LWFlMDctZTMxZTg4YmJjZmNmXzIiLCIyIjoiYTA1YmRhOWUtNTg2ZS00OWRlLThjMzItMGY2ZTQ3ZmQ4ODMxXzIiLCJjIjo3fSwiVmVybWlsbGlvbiBGaXJlYmlyZCI6eyIwIjoiYTE4NzQ2Y2YtOTc1ZS00ODNhLTljMGMtOTRjMTM0Y2Y2YWYyXzEiLCIxIjoiY2UxM2NkNDctYTIwNS00ZDI4LTk2YjAtYmRmOTA2ZmFlODlmXzAiLCIyIjoiODU1NTg0YjYtZmY4MS00NDljLWJmYzgtNzc2Yjg5ZTJlMWI2XzIiLCJjIjo3fSwiU3BlbGwgQ2F0Ijp7IjAiOiJjMDE0ZmE3OC05YjU2LTRlOTItOTM4MC0wNWYzYzFiYzYzZjJfMyIsIjEiOiJkOGE1NmJlNS0wZmU1LTQzNGItYTc3YS1iNjE0Njg3M2VhMWFfMyIsIjIiOiJjMDE0ZmE3OC05YjU2LTRlOTItOTM4MC0wNWYzYzFiYzYzZjJfMCIsImMiOjZ9LCJUb3JpaSBTcGlyaXQiOnsiMCI6IjBjMmZjYzU4LTFjZDUtNGUyYy05OTUzLTA2YWU5OTUyN2FjY18zIiwiMSI6ImYwYTdlNTkzLWU4YTMtNDlhNC05MzU3LTY5OTI3YjQwZTBhOF8xIiwiMiI6ImNiODNmMDNiLTU0NDEtNGFiNi1hY2Q0LWQ2YzIzY2ZiZjFiMF8xIiwiYyI6MTB9LCJSdW5lY3Vyc2VkIFd5dmVybiI6eyIwIjoiM2Y3MDA3NDUtOTNlOS00OTFlLWIzMDItMGYzYjgxMjljZDNhXzMiLCIxIjoiMzA0YWZjZmQtNzg5NC00MDhmLTkwNzUtYjk2NjViMGRhOWJiXzEiLCIyIjoiZWZjOTZlZDAtZDg3Yi00ZDI5LWJiODYtZjI5Nzk1NzI4YmY4XzIiLCJjIjo2fSwiVGVjdG9uaWMgU2hpZnRlciI6eyIwIjoiZGE0ODc3MmEtYjRkNC00NGY4LThkNTUtNDI4YzRiNzc1MGRmXzEiLCIxIjoiYTViMjMzNzQtYzllMC00Y2MzLWFjOWUtN2NjNjkzYWIwN2I2XzEiLCIyIjoiZThlOTZmNzYtOTRiZC00MWFlLWIxYmQtNGNhOTZhZWJkZDFlXzMiLCJjIjo1fX0=</t>
  </si>
  <si>
    <t>TOTAL</t>
  </si>
  <si>
    <t>STATS</t>
  </si>
  <si>
    <t>Alle</t>
  </si>
  <si>
    <t>Wert</t>
  </si>
  <si>
    <t>Distribution Power</t>
  </si>
  <si>
    <t>Distribution Cost</t>
  </si>
  <si>
    <t>Set:</t>
  </si>
  <si>
    <t>Colorless</t>
  </si>
  <si>
    <t>Multicolor Cards</t>
  </si>
  <si>
    <t>Ivoryscar</t>
  </si>
  <si>
    <t>Tainted Jade</t>
  </si>
  <si>
    <t>Cinderguard</t>
  </si>
  <si>
    <t>Tranquil Herd</t>
  </si>
  <si>
    <t>Skulloath</t>
  </si>
  <si>
    <t>Average</t>
  </si>
  <si>
    <t>Moonspear</t>
  </si>
  <si>
    <t>Thunderswarm</t>
  </si>
  <si>
    <t>Gladehost</t>
  </si>
  <si>
    <t>Shardhorde</t>
  </si>
  <si>
    <t>Forsaken</t>
  </si>
  <si>
    <t>Physical cards:</t>
  </si>
  <si>
    <t># Karten</t>
  </si>
  <si>
    <t># Divine</t>
  </si>
  <si>
    <t># Nature</t>
  </si>
  <si>
    <t># Elemental</t>
  </si>
  <si>
    <t># Mortal</t>
  </si>
  <si>
    <t># Void</t>
  </si>
  <si>
    <t># Karten pro Archtyp / Rarity</t>
  </si>
  <si>
    <t>Total</t>
  </si>
  <si>
    <t>%</t>
  </si>
  <si>
    <t>Unearth</t>
  </si>
  <si>
    <t>Ramp</t>
  </si>
  <si>
    <t>Control</t>
  </si>
  <si>
    <t>Copy</t>
  </si>
  <si>
    <t>Aggro</t>
  </si>
  <si>
    <t>Empty-Crystal</t>
  </si>
  <si>
    <t>Move</t>
  </si>
  <si>
    <t># Karten pro Typ</t>
  </si>
  <si>
    <t>Archetype Commons</t>
  </si>
  <si>
    <t>Archetype Uncommons</t>
  </si>
  <si>
    <t>Archetype Rares</t>
  </si>
  <si>
    <t>Legion Veteran</t>
  </si>
  <si>
    <t>Realm_Mortal</t>
  </si>
  <si>
    <t>Human, Warrior</t>
  </si>
  <si>
    <t>Ally of Human: This and the Ally gain +1 Power.</t>
  </si>
  <si>
    <t>A symbol of hope for many, his journey from servitude to esteemed soldier speaks of resilience amidst the empire's harsh trials.</t>
  </si>
  <si>
    <t/>
  </si>
  <si>
    <t>Samsara</t>
  </si>
  <si>
    <t>Deploy: Bury any number of friendly Void Crystals. For each of them, gain their Power.</t>
  </si>
  <si>
    <t>In the eternal cycle, endings pave way for beginnings, over and again.</t>
  </si>
  <si>
    <t>V, V, V, ?, ?, ?, ?</t>
  </si>
  <si>
    <t>Whispers from the Trees</t>
  </si>
  <si>
    <t>Whenever an enemy Unit is deployed adjacently, your Opponent buries one of their Crystals. Deploy: Gain Taunt.</t>
  </si>
  <si>
    <t>Crystals</t>
  </si>
  <si>
    <t>Archon of Silence</t>
  </si>
  <si>
    <t>Guardian of Heaven</t>
  </si>
  <si>
    <t>Angel, Warrior</t>
  </si>
  <si>
    <t>Deploy: If you are trailing by 2 or more Units, gain +3 Power, Ward and Fear.</t>
  </si>
  <si>
    <t>Bringer of Pestilence</t>
  </si>
  <si>
    <t>Insect, Undead</t>
  </si>
  <si>
    <t>Start of your Turn: You may bury a friendly Unit to give this +2 Power and Taunt.</t>
  </si>
  <si>
    <t>Your mortality for my immortality.</t>
  </si>
  <si>
    <t>V, V, V, ?</t>
  </si>
  <si>
    <t>Crazed Acolyte</t>
  </si>
  <si>
    <t>Deploy: Corrupt.</t>
  </si>
  <si>
    <t>Haze Hermit</t>
  </si>
  <si>
    <t>Channel: Glimpse 5.</t>
  </si>
  <si>
    <t>Ancient Lamp</t>
  </si>
  <si>
    <t>Construct, Demon, Spirit</t>
  </si>
  <si>
    <t>Deploy: Corrupt yourself.</t>
  </si>
  <si>
    <t>Some wishes are better left unfulfilled, some dreams better left undreamed.</t>
  </si>
  <si>
    <t>E, D, ?</t>
  </si>
  <si>
    <t>Oblivion</t>
  </si>
  <si>
    <t>Crystalblight, Spirit</t>
  </si>
  <si>
    <t>Deploy: Corrupt for each friendly buried Crystal and each friendly Crystalblight.</t>
  </si>
  <si>
    <t>Join us, and become one with the waves and the universe... return to nothingness.</t>
  </si>
  <si>
    <t>D, V, ?, ?, ?, ?, ?</t>
  </si>
  <si>
    <t>Sovereign of the Rejuvenating Springs</t>
  </si>
  <si>
    <t>Animal, Plant</t>
  </si>
  <si>
    <t>Deploy and Crystallize: Exhausted: Draw a Card.</t>
  </si>
  <si>
    <t>Blätterhirsch</t>
  </si>
  <si>
    <t>Pegasus</t>
  </si>
  <si>
    <t>Deploy: Gain Winged 2.</t>
  </si>
  <si>
    <t>Blinking Onyxion</t>
  </si>
  <si>
    <t>Dragon, Wizard</t>
  </si>
  <si>
    <t>Channel: Give a Unit +2 Power.</t>
  </si>
  <si>
    <t>Dragon Queen Thalis</t>
  </si>
  <si>
    <t>Ally of Dragon: All friendly Dragons gain Winged 1 and +1 Power.</t>
  </si>
  <si>
    <t>E, M, M</t>
  </si>
  <si>
    <t>Fuming Fukuisaur</t>
  </si>
  <si>
    <t>Demon, Dinosaur</t>
  </si>
  <si>
    <t>Deploy: Corrupt. Corrupt.</t>
  </si>
  <si>
    <t>The Underworld's Geysirs forges resilient beasts, who adapted their harsh environment for their own profits.</t>
  </si>
  <si>
    <t>Spreading Spore</t>
  </si>
  <si>
    <t>Deploy: Exhausted: Three friendly Units gain +1 Power.</t>
  </si>
  <si>
    <t>Nightmare Creeper</t>
  </si>
  <si>
    <t>Demon, Insect</t>
  </si>
  <si>
    <t>Deploy: Gain Fear. Channel: Corrupt and obscure 2.</t>
  </si>
  <si>
    <t>True fear is only shaped inside your own mind.</t>
  </si>
  <si>
    <t>Chapel Watcher</t>
  </si>
  <si>
    <t>Mortal Divine</t>
  </si>
  <si>
    <t>Crystallize: A friendly Unit gains Winged 1.</t>
  </si>
  <si>
    <t>Engel der auf Kirchendach chillt.</t>
  </si>
  <si>
    <t>M, D, ?</t>
  </si>
  <si>
    <t>Luring Flametooth</t>
  </si>
  <si>
    <t>Dragon, Hunter</t>
  </si>
  <si>
    <t>Deploy: Gain Taunt and Winged 1.</t>
  </si>
  <si>
    <t>Shardsplosion</t>
  </si>
  <si>
    <t>Ambush: When a Unit was played adjacently this Turn and adjacent Units have a total of 15 or more Power. Unearth: Bury all adjacent Units.</t>
  </si>
  <si>
    <t>Dragoncaller</t>
  </si>
  <si>
    <t>Human, Wizard</t>
  </si>
  <si>
    <t>When your Opponent conquers this Lane, you may deploy a friendly Dragon Crystal adjacently.</t>
  </si>
  <si>
    <t>Stalagmite Twin</t>
  </si>
  <si>
    <t>Crystallize: Gain Crystalborn. Deploy: Gain Ward. Conquer: Deploy the top Construct of your Deck adjacently.</t>
  </si>
  <si>
    <t>Twin sentinels of the underground, their jagged forms a testament to time's relentless sculpting.</t>
  </si>
  <si>
    <t>Undead, Hunter</t>
  </si>
  <si>
    <t>Desert Mirage</t>
  </si>
  <si>
    <t>Ambush: A Unit was deployed this Turn and there are empty adjacent Slots. Unearth: You may swap this with another friendly Unit.</t>
  </si>
  <si>
    <t>Like a dream within the desert's embrace, it blurs the line between reality and illusion.</t>
  </si>
  <si>
    <t>Heavenbound Heka-Mage</t>
  </si>
  <si>
    <t>Angel, Wizard</t>
  </si>
  <si>
    <t>Deploy: Gain Winged 1.</t>
  </si>
  <si>
    <t>Twilight Sorceress</t>
  </si>
  <si>
    <t>Deploy: Gain Ward. Whenever a friendly Unit with a "Choose one" ability is deployed, you can use both abilities.</t>
  </si>
  <si>
    <t>In the realm of twilight, she weaves shadows and light into an arcane dance, a mistress of boundless potential.</t>
  </si>
  <si>
    <t>D, V, ?, ?, ?</t>
  </si>
  <si>
    <t>Twinfang Huntcaller</t>
  </si>
  <si>
    <t>Crystallize: Whenever a Unit unleashes this Turn, copy its 'Unleash' ability.</t>
  </si>
  <si>
    <t>A singular birth yields dual might, its twin essence empowering every roar.</t>
  </si>
  <si>
    <t>Vanguard Diviner</t>
  </si>
  <si>
    <t>Deploy: Ward. Ally of Mortal: Glimpse equal to an adjacent friendly Unit's Power.</t>
  </si>
  <si>
    <t>Eyes aglow with tomorrow's secrets, he charts the course of destiny's unseen paths.</t>
  </si>
  <si>
    <t xml:space="preserve">When this is a Crystal and gets buried, </t>
  </si>
  <si>
    <t>Deploy: If you control two Angels and two Demons,</t>
  </si>
  <si>
    <t>Behemoth Guider</t>
  </si>
  <si>
    <t>Deploy: Gain Power equal to a friendly Crystal with the lowest Power.</t>
  </si>
  <si>
    <t>All Units cost &lt;?&gt; more.</t>
  </si>
  <si>
    <t>The Yesterknight</t>
  </si>
  <si>
    <t>All friendly Crusaders</t>
  </si>
  <si>
    <t>Young Alchemist</t>
  </si>
  <si>
    <t>Mirrorkin</t>
  </si>
  <si>
    <t>Ambush: An enemy Unit is deployed adjacently. Unearth: Gain Power equal to an adjacent enemy Unit's Power.</t>
  </si>
  <si>
    <t>Irgendirgendwas Ägypten Einbalsamierung (Take control of Unit???)</t>
  </si>
  <si>
    <t>Bannerbearer Tribal</t>
  </si>
  <si>
    <t>Ally of Nature: ... Ally of Divine: ... Ally of Elemental: ....</t>
  </si>
  <si>
    <t>Keyword</t>
  </si>
  <si>
    <t>"Shuffle King"</t>
  </si>
  <si>
    <t>Realm_Divine</t>
  </si>
  <si>
    <t>You may exchange the position of two buried Units on the Field.</t>
  </si>
  <si>
    <t xml:space="preserve">Set 1 </t>
  </si>
  <si>
    <t>Radiant Cherubim</t>
  </si>
  <si>
    <t>Ward.</t>
  </si>
  <si>
    <t>Gains +1 Power for each friendly Divine Crystal.</t>
  </si>
  <si>
    <t>Tranquil Herd Stampeder</t>
  </si>
  <si>
    <t>Dinosaur, Spirit</t>
  </si>
  <si>
    <t>Adjacent friendly Animals get Ward.</t>
  </si>
  <si>
    <t>Shard Colossus</t>
  </si>
  <si>
    <t>Crystalborn.</t>
  </si>
  <si>
    <t>Gains +1 Power for each Unit with Crystalborn.</t>
  </si>
  <si>
    <t>D, D, D, ?, ?</t>
  </si>
  <si>
    <t>Avatar of Destruction</t>
  </si>
  <si>
    <t>Realm_Elemental</t>
  </si>
  <si>
    <t>Unleash - all other friendly Units with Unleash gain +3 Power.</t>
  </si>
  <si>
    <t>E, E, E, E, E</t>
  </si>
  <si>
    <t>Skyseer Monk</t>
  </si>
  <si>
    <t>Glimpse twice.</t>
  </si>
  <si>
    <t>E, E</t>
  </si>
  <si>
    <t>Unstable Nebula</t>
  </si>
  <si>
    <t>Ambush - If all adjacents Slots are full.</t>
  </si>
  <si>
    <t>Tempest Sage</t>
  </si>
  <si>
    <t>Glimpse twice for each adjacent Elemental Unit.</t>
  </si>
  <si>
    <t>Ambush - When you play your third Void Crystal.</t>
  </si>
  <si>
    <t>E, E, E</t>
  </si>
  <si>
    <t>Realm_Nature</t>
  </si>
  <si>
    <t>Ally Unit with Conquer: Activate that Unit's Conquer ability.</t>
  </si>
  <si>
    <t>Ravenous Mantis</t>
  </si>
  <si>
    <t>Conquer: Transfer the Buffs of all Units in both Lanes to this.</t>
  </si>
  <si>
    <t>Canopy Snaremaster</t>
  </si>
  <si>
    <t>Human, Hunter</t>
  </si>
  <si>
    <t>Exchange adjacent enemy buried Unit with a Unit from the opponent's Crystal Zone.</t>
  </si>
  <si>
    <t>Primeval Amberstone</t>
  </si>
  <si>
    <t>Draw a Card, then bury this.</t>
  </si>
  <si>
    <t>Kudzu Clusterspawn</t>
  </si>
  <si>
    <t>This costs &lt;?&gt; less for each adjacent Plant.</t>
  </si>
  <si>
    <t>N, ?, ?, ?, ?</t>
  </si>
  <si>
    <t>Apex Predator</t>
  </si>
  <si>
    <t>Dinosaur, Dragon</t>
  </si>
  <si>
    <t>Realm_Void</t>
  </si>
  <si>
    <t>You may put this on the bottom of your deck and play the top card of your deck buried in this Slot.</t>
  </si>
  <si>
    <t>V, V, ?</t>
  </si>
  <si>
    <t>Dimensional Shifter</t>
  </si>
  <si>
    <t>Swap the positions of two Void Units on the Field.</t>
  </si>
  <si>
    <t>V, V, V</t>
  </si>
  <si>
    <t>Fearless Cub</t>
  </si>
  <si>
    <t>Raptor Hatchling</t>
  </si>
  <si>
    <t>Whenever a friendly Dinosaur is played adjacently, gain +2 Power and Fear.</t>
  </si>
  <si>
    <t>Prestine Palace Warden</t>
  </si>
  <si>
    <t>Taunt.</t>
  </si>
  <si>
    <t>Ally of Angel: Glimpse twice and gain +2 Power.</t>
  </si>
  <si>
    <t>Starshatter Sorcerer</t>
  </si>
  <si>
    <t>Realm_Divine Realm_Void</t>
  </si>
  <si>
    <t>Skulloath Nomad</t>
  </si>
  <si>
    <t>Realm_Elemental Realm_Void</t>
  </si>
  <si>
    <t>Sapphire Singularity</t>
  </si>
  <si>
    <t>Construct, Spirit</t>
  </si>
  <si>
    <t>Unleash &lt;E&gt;&lt;D&gt;&lt;M&gt;&lt;N&gt;&lt;V&gt;: Move all adjacent Units to their owners' Hands.</t>
  </si>
  <si>
    <t>Invasive Ninja</t>
  </si>
  <si>
    <t>Crystallize: If you have a buried Crystal, XXX.</t>
  </si>
  <si>
    <t>Ally of Rarity</t>
  </si>
  <si>
    <t>Ally of Cost</t>
  </si>
  <si>
    <t>Ally of Power</t>
  </si>
  <si>
    <t>Glimpse once, then Crystallize the top Card of your Deck.</t>
  </si>
  <si>
    <t>If this ascended, gain "At the start of your Turn, deploy the top Construct of your Deck."</t>
  </si>
  <si>
    <t>Miracle: Take an additional Turn.</t>
  </si>
  <si>
    <t xml:space="preserve">Miracle: Distribute three </t>
  </si>
  <si>
    <t>Vigilant Falcon</t>
  </si>
  <si>
    <t>Animal, Hunter</t>
  </si>
  <si>
    <t>Deploy: If you are Leading in Lanes, Glimpse thrice.</t>
  </si>
  <si>
    <t>Augur of Ascension</t>
  </si>
  <si>
    <t>Realm_Mortal Realm_Void</t>
  </si>
  <si>
    <t>In the depths of her longing, she becomes an offering to the night.</t>
  </si>
  <si>
    <t>150 / 229</t>
  </si>
  <si>
    <t>Crystallize: You may ascend on any friendly Unit until the end of your Turn.</t>
  </si>
  <si>
    <t>Deploy: Shuffle this into your Deck. Move the top Card of your Deck into this Slot and copy its Ability. Then bury it.</t>
  </si>
  <si>
    <t>Deploy: If you have a buried Crystal, XXX</t>
  </si>
  <si>
    <t>If your Opponent conquers this Lane, deploy the top Dragon of your Deck adjacently.</t>
  </si>
  <si>
    <t>Ambush: Your Opponent conquers this Lane. Unearth: Deploy the top Dragon of your Deck adjacently.</t>
  </si>
  <si>
    <t>Crystallize: The next Common Unit you play gains +2 Power and Taunt.</t>
  </si>
  <si>
    <t>Crystallize: The next Unit you play gains +2 Power.</t>
  </si>
  <si>
    <t>Bodyguard-Type-Beat</t>
  </si>
  <si>
    <t>Deploy: Draw the top Rare Unit of your Deck.</t>
  </si>
  <si>
    <t>Deploy: Deploy the top Unit of your Deck with 1-Power adjacently.</t>
  </si>
  <si>
    <t>Assassin</t>
  </si>
  <si>
    <t>Ambush: An enemy Rare Unit is deployed in this Lane. Unearth: Bury an enemy Rare Unit in this Lane.</t>
  </si>
  <si>
    <t>Miracle (If you drew this Card this Turn, you may reveal it. It gains an additional effect this turn.): Deploy: Take an additional Turn.</t>
  </si>
  <si>
    <t>Miracle: Deploy: Three Units in this Lane gain +1 Power.</t>
  </si>
  <si>
    <t>Deploy: Your Opponent deploys the top Unit of their Deck.</t>
  </si>
  <si>
    <t>Exhausted: You may move an adjacent Unit.</t>
  </si>
  <si>
    <t>Exhausted: Draw a Card.</t>
  </si>
  <si>
    <t>Exhausted + Crystalborn ist mega</t>
  </si>
  <si>
    <t>At the end of your Turn, an adjacent Unit gains +1 Power.</t>
  </si>
  <si>
    <t>Annihilator goes brrr</t>
  </si>
  <si>
    <t>At the end of your Turn, your Opponent either discards a Card, buries one of their Crystals or buries one of their Unit.</t>
  </si>
  <si>
    <t>At the end of your Turn, glimpse once.</t>
  </si>
  <si>
    <t>At the end of your Turn, you may put this at the bottom of your Deck. If you do, deploy the top Hunter of your Deck in this Slot.</t>
  </si>
  <si>
    <t>At the end of your Turn, you may unearth an adjacent buried Unit.</t>
  </si>
  <si>
    <t>At the end of your Turn, if you're Trailing in Cards, draw a Card.</t>
  </si>
  <si>
    <t>At the end of your Turn, if you're Trailing in Lanes, draw a Card.</t>
  </si>
  <si>
    <t>At the end of your Turn, bury a Crystal or put a Card from your Hand at the bottom of your Deck.</t>
  </si>
  <si>
    <t>At the end of your Turn, you may bury this to unearth an adjacent Unit.</t>
  </si>
  <si>
    <t>At the end of your Turn, you may bury this to bury an adjacent enemy Unit.</t>
  </si>
  <si>
    <t>At the end of your Turn, draw the top Unit of your Deck with 1-Power.</t>
  </si>
  <si>
    <t>If this ascended, gain "At the end of your Turn, deploy the top Construct of your Deck."</t>
  </si>
  <si>
    <t>Corrupt &lt;Player&gt; = &lt;Player&gt; eihter puts a Card from their Hand on the bottom of their Deck, buries one of their Crystals or buries one of their Units.</t>
  </si>
  <si>
    <t>If you're trailing in Crystals,</t>
  </si>
  <si>
    <t>If you're trailing in Units,</t>
  </si>
  <si>
    <t xml:space="preserve">If you're trailing in Cards, </t>
  </si>
  <si>
    <t xml:space="preserve">If you're trailing in Lanes, </t>
  </si>
  <si>
    <t>Deploy: Crystallize an adjacent friendly Unit.</t>
  </si>
  <si>
    <t xml:space="preserve">Crystalborn. Deploy: Choose one: - </t>
  </si>
  <si>
    <t>Channel: Pitch this to ...</t>
  </si>
  <si>
    <t>Armory Token = Start of Turn: Gain +1 Power.</t>
  </si>
  <si>
    <t>Crystallize: Draw a Card. Put a Card from your Hand at the bottom of your Deck.</t>
  </si>
  <si>
    <t>Channel: A Unit gains +2 Power.</t>
  </si>
  <si>
    <t>Crystallize and Deploy: A Unit gains +1 Power.</t>
  </si>
  <si>
    <t>winter white typ</t>
  </si>
  <si>
    <t>Deploy: Copy the 'Crystallize' Ability of each enemy Crystal.</t>
  </si>
  <si>
    <t>Crystallize: Unleash &lt;D&gt;&lt;D&gt;&lt;D&gt;&lt;D&gt;: Bury a Unit.</t>
  </si>
  <si>
    <t>Excercising Excorcist</t>
  </si>
  <si>
    <t>Deploy: Put an enemy Crystal beneath its owner's Deck.</t>
  </si>
  <si>
    <t>Whenever this gains Power, draw a Card.</t>
  </si>
  <si>
    <t>Ambush: This Turn, an Animal was deployed.</t>
  </si>
  <si>
    <t>Sylvan Safekeeper</t>
  </si>
  <si>
    <t>Deploy: If you are trailing in Units, gain +2 Power and Taunt.</t>
  </si>
  <si>
    <t>Winged.</t>
  </si>
  <si>
    <t>Divine Mortal Void</t>
  </si>
  <si>
    <t>God</t>
  </si>
  <si>
    <t>Diplodocus mit Stadt auf dem Rücken</t>
  </si>
</sst>
</file>

<file path=xl/styles.xml><?xml version="1.0" encoding="utf-8"?>
<styleSheet xmlns="http://schemas.openxmlformats.org/spreadsheetml/2006/main" xmlns:x14ac="http://schemas.microsoft.com/office/spreadsheetml/2009/9/ac" xmlns:mc="http://schemas.openxmlformats.org/markup-compatibility/2006">
  <fonts count="33">
    <font>
      <sz val="11.0"/>
      <color theme="1"/>
      <name val="Calibri"/>
      <scheme val="minor"/>
    </font>
    <font>
      <b/>
      <sz val="11.0"/>
      <color rgb="FFFFFFFF"/>
      <name val="Calibri"/>
    </font>
    <font>
      <sz val="11.0"/>
      <color rgb="FFFFFFFF"/>
      <name val="Calibri"/>
    </font>
    <font>
      <i/>
      <sz val="11.0"/>
      <color rgb="FFFFFFFF"/>
      <name val="Calibri"/>
    </font>
    <font>
      <color theme="1"/>
      <name val="Calibri"/>
      <scheme val="minor"/>
    </font>
    <font>
      <b/>
      <sz val="11.0"/>
      <color theme="1"/>
      <name val="Calibri"/>
    </font>
    <font>
      <sz val="11.0"/>
      <color theme="1"/>
      <name val="Calibri"/>
    </font>
    <font>
      <i/>
      <sz val="11.0"/>
      <color theme="1"/>
      <name val="Calibri"/>
    </font>
    <font>
      <sz val="11.0"/>
      <color rgb="FFEBECEF"/>
      <name val="&quot;DM Sans&quot;"/>
    </font>
    <font>
      <u/>
      <color rgb="FF0000FF"/>
    </font>
    <font>
      <i/>
      <color theme="1"/>
      <name val="Calibri"/>
      <scheme val="minor"/>
    </font>
    <font>
      <sz val="11.0"/>
      <color rgb="FF000000"/>
      <name val="Calibri"/>
    </font>
    <font>
      <i/>
      <sz val="11.0"/>
      <color rgb="FF000000"/>
      <name val="Calibri"/>
    </font>
    <font>
      <u/>
      <sz val="11.0"/>
      <color theme="4"/>
      <name val="&quot;DM Sans&quot;"/>
    </font>
    <font>
      <i/>
      <sz val="11.0"/>
      <color rgb="FF0F0F0F"/>
      <name val="Calibri"/>
      <scheme val="minor"/>
    </font>
    <font>
      <color rgb="FF000000"/>
      <name val="Calibri"/>
      <scheme val="minor"/>
    </font>
    <font>
      <i/>
      <sz val="11.0"/>
      <color rgb="FF0F0F0F"/>
      <name val="Calibri"/>
    </font>
    <font>
      <i/>
      <sz val="11.0"/>
      <color theme="1"/>
      <name val="Calibri"/>
      <scheme val="minor"/>
    </font>
    <font>
      <sz val="11.0"/>
      <color rgb="FF1F1F1F"/>
      <name val="Calibri"/>
      <scheme val="minor"/>
    </font>
    <font>
      <b/>
      <color rgb="FFFFFFFF"/>
      <name val="Calibri"/>
      <scheme val="minor"/>
    </font>
    <font>
      <color rgb="FFFFFFFF"/>
      <name val="Calibri"/>
      <scheme val="minor"/>
    </font>
    <font>
      <b/>
      <color theme="1"/>
      <name val="Calibri"/>
      <scheme val="minor"/>
    </font>
    <font>
      <sz val="9.0"/>
      <color rgb="FF000000"/>
      <name val="&quot;Google Sans Mono&quot;"/>
    </font>
    <font>
      <b/>
      <sz val="11.0"/>
      <color rgb="FF444444"/>
      <name val="Calibri"/>
    </font>
    <font>
      <b/>
      <color rgb="FF00FFFF"/>
      <name val="Calibri"/>
      <scheme val="minor"/>
    </font>
    <font>
      <sz val="11.0"/>
      <color rgb="FF444444"/>
      <name val="Calibri"/>
    </font>
    <font>
      <i/>
      <sz val="11.0"/>
      <color rgb="FF444444"/>
      <name val="Calibri"/>
    </font>
    <font>
      <b/>
      <i/>
      <sz val="11.0"/>
      <color rgb="FF444444"/>
      <name val="Calibri"/>
    </font>
    <font>
      <b/>
      <i/>
      <color theme="1"/>
      <name val="Calibri"/>
      <scheme val="minor"/>
    </font>
    <font>
      <i/>
      <color rgb="FFFFFFFF"/>
      <name val="Calibri"/>
      <scheme val="minor"/>
    </font>
    <font>
      <b/>
      <sz val="9.0"/>
      <color rgb="FF000000"/>
      <name val="&quot;Google Sans Mono&quot;"/>
    </font>
    <font>
      <b/>
      <sz val="11.0"/>
      <color rgb="FF000000"/>
      <name val="Calibri"/>
      <scheme val="minor"/>
    </font>
    <font>
      <color rgb="FF000000"/>
      <name val="Docs-Calibri"/>
    </font>
  </fonts>
  <fills count="28">
    <fill>
      <patternFill patternType="none"/>
    </fill>
    <fill>
      <patternFill patternType="lightGray"/>
    </fill>
    <fill>
      <patternFill patternType="solid">
        <fgColor rgb="FF3C78D8"/>
        <bgColor rgb="FF3C78D8"/>
      </patternFill>
    </fill>
    <fill>
      <patternFill patternType="solid">
        <fgColor rgb="FFFFFF00"/>
        <bgColor rgb="FFFFFF00"/>
      </patternFill>
    </fill>
    <fill>
      <patternFill patternType="solid">
        <fgColor rgb="FF0D0E12"/>
        <bgColor rgb="FF0D0E12"/>
      </patternFill>
    </fill>
    <fill>
      <patternFill patternType="solid">
        <fgColor rgb="FFFFE598"/>
        <bgColor rgb="FFFFE598"/>
      </patternFill>
    </fill>
    <fill>
      <patternFill patternType="solid">
        <fgColor rgb="FFFFE599"/>
        <bgColor rgb="FFFFE599"/>
      </patternFill>
    </fill>
    <fill>
      <patternFill patternType="solid">
        <fgColor theme="9"/>
        <bgColor theme="9"/>
      </patternFill>
    </fill>
    <fill>
      <patternFill patternType="solid">
        <fgColor theme="0"/>
        <bgColor theme="0"/>
      </patternFill>
    </fill>
    <fill>
      <patternFill patternType="solid">
        <fgColor rgb="FFED7D31"/>
        <bgColor rgb="FFED7D31"/>
      </patternFill>
    </fill>
    <fill>
      <patternFill patternType="solid">
        <fgColor theme="5"/>
        <bgColor theme="5"/>
      </patternFill>
    </fill>
    <fill>
      <patternFill patternType="solid">
        <fgColor rgb="FFFF0000"/>
        <bgColor rgb="FFFF0000"/>
      </patternFill>
    </fill>
    <fill>
      <patternFill patternType="solid">
        <fgColor rgb="FFE7E6E6"/>
        <bgColor rgb="FFE7E6E6"/>
      </patternFill>
    </fill>
    <fill>
      <patternFill patternType="solid">
        <fgColor rgb="FFE06666"/>
        <bgColor rgb="FFE06666"/>
      </patternFill>
    </fill>
    <fill>
      <patternFill patternType="solid">
        <fgColor rgb="FF70AD47"/>
        <bgColor rgb="FF70AD47"/>
      </patternFill>
    </fill>
    <fill>
      <patternFill patternType="solid">
        <fgColor rgb="FF8496B0"/>
        <bgColor rgb="FF8496B0"/>
      </patternFill>
    </fill>
    <fill>
      <patternFill patternType="solid">
        <fgColor theme="4"/>
        <bgColor theme="4"/>
      </patternFill>
    </fill>
    <fill>
      <patternFill patternType="solid">
        <fgColor rgb="FF4A86E8"/>
        <bgColor rgb="FF4A86E8"/>
      </patternFill>
    </fill>
    <fill>
      <patternFill patternType="solid">
        <fgColor rgb="FFF1C232"/>
        <bgColor rgb="FFF1C232"/>
      </patternFill>
    </fill>
    <fill>
      <patternFill patternType="solid">
        <fgColor rgb="FF93C47D"/>
        <bgColor rgb="FF93C47D"/>
      </patternFill>
    </fill>
    <fill>
      <patternFill patternType="solid">
        <fgColor rgb="FFA4C2F4"/>
        <bgColor rgb="FFA4C2F4"/>
      </patternFill>
    </fill>
    <fill>
      <patternFill patternType="solid">
        <fgColor rgb="FF351C75"/>
        <bgColor rgb="FF351C75"/>
      </patternFill>
    </fill>
    <fill>
      <patternFill patternType="solid">
        <fgColor rgb="FFFFFFFF"/>
        <bgColor rgb="FFFFFFFF"/>
      </patternFill>
    </fill>
    <fill>
      <patternFill patternType="solid">
        <fgColor rgb="FFD9D9D9"/>
        <bgColor rgb="FFD9D9D9"/>
      </patternFill>
    </fill>
    <fill>
      <patternFill patternType="solid">
        <fgColor rgb="FFCCCCCC"/>
        <bgColor rgb="FFCCCCCC"/>
      </patternFill>
    </fill>
    <fill>
      <patternFill patternType="solid">
        <fgColor rgb="FF4472C4"/>
        <bgColor rgb="FF4472C4"/>
      </patternFill>
    </fill>
    <fill>
      <patternFill patternType="solid">
        <fgColor rgb="FFC55A11"/>
        <bgColor rgb="FFC55A11"/>
      </patternFill>
    </fill>
    <fill>
      <patternFill patternType="solid">
        <fgColor rgb="FFCC0000"/>
        <bgColor rgb="FFCC0000"/>
      </patternFill>
    </fill>
  </fills>
  <borders count="18">
    <border/>
    <border>
      <left/>
      <right/>
      <top/>
      <bottom/>
    </border>
    <border>
      <left/>
      <right/>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border>
    <border>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80">
    <xf borderId="0" fillId="0" fontId="0" numFmtId="0" xfId="0" applyAlignment="1" applyFont="1">
      <alignment readingOrder="0" shrinkToFit="0" vertical="bottom" wrapText="0"/>
    </xf>
    <xf borderId="0" fillId="2" fontId="1" numFmtId="0" xfId="0" applyAlignment="1" applyFill="1" applyFont="1">
      <alignment horizontal="left" readingOrder="0"/>
    </xf>
    <xf borderId="0" fillId="2" fontId="2" numFmtId="0" xfId="0" applyAlignment="1" applyFont="1">
      <alignment shrinkToFit="0" wrapText="1"/>
    </xf>
    <xf borderId="0" fillId="2" fontId="2" numFmtId="0" xfId="0" applyAlignment="1" applyFont="1">
      <alignment horizontal="center" readingOrder="0" shrinkToFit="0" wrapText="1"/>
    </xf>
    <xf borderId="0" fillId="2" fontId="2" numFmtId="0" xfId="0" applyAlignment="1" applyFont="1">
      <alignment horizontal="center"/>
    </xf>
    <xf borderId="0" fillId="2" fontId="2" numFmtId="0" xfId="0" applyAlignment="1" applyFont="1">
      <alignment readingOrder="0" shrinkToFit="0" wrapText="1"/>
    </xf>
    <xf borderId="0" fillId="2" fontId="3" numFmtId="0" xfId="0" applyAlignment="1" applyFont="1">
      <alignment shrinkToFit="0" wrapText="1"/>
    </xf>
    <xf borderId="0" fillId="2" fontId="2" numFmtId="0" xfId="0" applyAlignment="1" applyFont="1">
      <alignment readingOrder="0"/>
    </xf>
    <xf borderId="0" fillId="2" fontId="4" numFmtId="0" xfId="0" applyAlignment="1" applyFont="1">
      <alignment readingOrder="0"/>
    </xf>
    <xf borderId="0" fillId="3" fontId="5" numFmtId="0" xfId="0" applyAlignment="1" applyFill="1" applyFont="1">
      <alignment horizontal="left" readingOrder="0"/>
    </xf>
    <xf borderId="0" fillId="0" fontId="6" numFmtId="0" xfId="0" applyAlignment="1" applyFont="1">
      <alignment horizontal="left" readingOrder="0" vertical="center"/>
    </xf>
    <xf borderId="0" fillId="0" fontId="6" numFmtId="0" xfId="0" applyAlignment="1" applyFont="1">
      <alignment horizontal="center" readingOrder="0" vertical="center"/>
    </xf>
    <xf borderId="0" fillId="0" fontId="7" numFmtId="0" xfId="0" applyAlignment="1" applyFont="1">
      <alignment horizontal="left" readingOrder="0" vertical="center"/>
    </xf>
    <xf borderId="0" fillId="0" fontId="4" numFmtId="0" xfId="0" applyFont="1"/>
    <xf borderId="0" fillId="4" fontId="8" numFmtId="0" xfId="0" applyAlignment="1" applyFill="1" applyFont="1">
      <alignment readingOrder="0"/>
    </xf>
    <xf borderId="0" fillId="0" fontId="9" numFmtId="0" xfId="0" applyAlignment="1" applyFont="1">
      <alignment readingOrder="0"/>
    </xf>
    <xf borderId="0" fillId="5" fontId="6" numFmtId="0" xfId="0" applyAlignment="1" applyFill="1" applyFont="1">
      <alignment horizontal="left" readingOrder="0" vertical="center"/>
    </xf>
    <xf borderId="0" fillId="5" fontId="4" numFmtId="0" xfId="0" applyAlignment="1" applyFont="1">
      <alignment readingOrder="0"/>
    </xf>
    <xf borderId="0" fillId="0" fontId="4" numFmtId="0" xfId="0" applyAlignment="1" applyFont="1">
      <alignment horizontal="center" readingOrder="0"/>
    </xf>
    <xf borderId="0" fillId="0" fontId="4" numFmtId="0" xfId="0" applyAlignment="1" applyFont="1">
      <alignment readingOrder="0"/>
    </xf>
    <xf borderId="0" fillId="0" fontId="10" numFmtId="0" xfId="0" applyAlignment="1" applyFont="1">
      <alignment readingOrder="0"/>
    </xf>
    <xf borderId="0" fillId="0" fontId="6" numFmtId="0" xfId="0" applyAlignment="1" applyFont="1">
      <alignment horizontal="center" vertical="center"/>
    </xf>
    <xf borderId="0" fillId="0" fontId="6" numFmtId="0" xfId="0" applyAlignment="1" applyFont="1">
      <alignment horizontal="left" readingOrder="0"/>
    </xf>
    <xf borderId="0" fillId="6" fontId="6" numFmtId="0" xfId="0" applyAlignment="1" applyFill="1" applyFont="1">
      <alignment horizontal="left" readingOrder="0" vertical="center"/>
    </xf>
    <xf borderId="1" fillId="5" fontId="6" numFmtId="0" xfId="0" applyAlignment="1" applyBorder="1" applyFont="1">
      <alignment horizontal="left" readingOrder="0" vertical="center"/>
    </xf>
    <xf borderId="0" fillId="7" fontId="6" numFmtId="0" xfId="0" applyAlignment="1" applyFill="1" applyFont="1">
      <alignment horizontal="center" readingOrder="0" vertical="center"/>
    </xf>
    <xf borderId="0" fillId="0" fontId="6" numFmtId="0" xfId="0" applyAlignment="1" applyFont="1">
      <alignment readingOrder="0" vertical="bottom"/>
    </xf>
    <xf borderId="0" fillId="0" fontId="11" numFmtId="0" xfId="0" applyAlignment="1" applyFont="1">
      <alignment horizontal="left" readingOrder="0"/>
    </xf>
    <xf borderId="0" fillId="0" fontId="12" numFmtId="0" xfId="0" applyAlignment="1" applyFont="1">
      <alignment horizontal="left" readingOrder="0"/>
    </xf>
    <xf borderId="0" fillId="0" fontId="6" numFmtId="0" xfId="0" applyAlignment="1" applyFont="1">
      <alignment horizontal="left" vertical="center"/>
    </xf>
    <xf borderId="0" fillId="7" fontId="4" numFmtId="0" xfId="0" applyAlignment="1" applyFont="1">
      <alignment readingOrder="0"/>
    </xf>
    <xf borderId="0" fillId="3" fontId="4" numFmtId="0" xfId="0" applyAlignment="1" applyFont="1">
      <alignment readingOrder="0"/>
    </xf>
    <xf borderId="0" fillId="3" fontId="6" numFmtId="0" xfId="0" applyAlignment="1" applyFont="1">
      <alignment horizontal="left" readingOrder="0" vertical="center"/>
    </xf>
    <xf borderId="0" fillId="8" fontId="4" numFmtId="0" xfId="0" applyAlignment="1" applyFill="1" applyFont="1">
      <alignment readingOrder="0"/>
    </xf>
    <xf borderId="0" fillId="9" fontId="4" numFmtId="0" xfId="0" applyAlignment="1" applyFill="1" applyFont="1">
      <alignment readingOrder="0"/>
    </xf>
    <xf borderId="0" fillId="4" fontId="13" numFmtId="0" xfId="0" applyAlignment="1" applyFont="1">
      <alignment readingOrder="0"/>
    </xf>
    <xf borderId="0" fillId="9" fontId="6" numFmtId="0" xfId="0" applyAlignment="1" applyFont="1">
      <alignment horizontal="left" readingOrder="0" vertical="center"/>
    </xf>
    <xf borderId="1" fillId="10" fontId="4" numFmtId="0" xfId="0" applyAlignment="1" applyBorder="1" applyFill="1" applyFont="1">
      <alignment readingOrder="0"/>
    </xf>
    <xf borderId="0" fillId="10" fontId="4" numFmtId="0" xfId="0" applyAlignment="1" applyFont="1">
      <alignment readingOrder="0"/>
    </xf>
    <xf borderId="0" fillId="0" fontId="14" numFmtId="0" xfId="0" applyAlignment="1" applyFont="1">
      <alignment horizontal="left" readingOrder="0"/>
    </xf>
    <xf borderId="1" fillId="10" fontId="6" numFmtId="0" xfId="0" applyAlignment="1" applyBorder="1" applyFont="1">
      <alignment horizontal="left" readingOrder="0" vertical="center"/>
    </xf>
    <xf borderId="0" fillId="0" fontId="7" numFmtId="0" xfId="0" applyAlignment="1" applyFont="1">
      <alignment horizontal="left" readingOrder="0" shrinkToFit="0" vertical="bottom" wrapText="0"/>
    </xf>
    <xf borderId="1" fillId="0" fontId="6" numFmtId="0" xfId="0" applyAlignment="1" applyBorder="1" applyFont="1">
      <alignment horizontal="left" readingOrder="0" vertical="center"/>
    </xf>
    <xf borderId="0" fillId="10" fontId="6" numFmtId="0" xfId="0" applyAlignment="1" applyFont="1">
      <alignment horizontal="left" readingOrder="0" vertical="center"/>
    </xf>
    <xf borderId="0" fillId="0" fontId="6" numFmtId="0" xfId="0" applyAlignment="1" applyFont="1">
      <alignment readingOrder="0" vertical="center"/>
    </xf>
    <xf borderId="0" fillId="7" fontId="6" numFmtId="0" xfId="0" applyAlignment="1" applyFont="1">
      <alignment horizontal="left" readingOrder="0" vertical="center"/>
    </xf>
    <xf borderId="0" fillId="0" fontId="6" numFmtId="0" xfId="0" applyFont="1"/>
    <xf borderId="0" fillId="10" fontId="6" numFmtId="0" xfId="0" applyAlignment="1" applyFont="1">
      <alignment readingOrder="0"/>
    </xf>
    <xf borderId="0" fillId="0" fontId="6" numFmtId="0" xfId="0" applyAlignment="1" applyFont="1">
      <alignment horizontal="center" readingOrder="0"/>
    </xf>
    <xf borderId="0" fillId="0" fontId="6" numFmtId="0" xfId="0" applyAlignment="1" applyFont="1">
      <alignment readingOrder="0"/>
    </xf>
    <xf borderId="0" fillId="0" fontId="7" numFmtId="0" xfId="0" applyAlignment="1" applyFont="1">
      <alignment readingOrder="0"/>
    </xf>
    <xf borderId="0" fillId="0" fontId="6" numFmtId="0" xfId="0" applyAlignment="1" applyFont="1">
      <alignment horizontal="center"/>
    </xf>
    <xf borderId="0" fillId="7" fontId="4" numFmtId="0" xfId="0" applyAlignment="1" applyFont="1">
      <alignment horizontal="center" readingOrder="0"/>
    </xf>
    <xf borderId="0" fillId="0" fontId="15" numFmtId="0" xfId="0" applyAlignment="1" applyFont="1">
      <alignment readingOrder="0"/>
    </xf>
    <xf borderId="0" fillId="7" fontId="6" numFmtId="0" xfId="0" applyAlignment="1" applyFont="1">
      <alignment horizontal="left" readingOrder="0" shrinkToFit="0" vertical="center" wrapText="1"/>
    </xf>
    <xf borderId="0" fillId="0" fontId="7" numFmtId="0" xfId="0" applyAlignment="1" applyFont="1">
      <alignment horizontal="left" readingOrder="0" shrinkToFit="0" vertical="center" wrapText="0"/>
    </xf>
    <xf borderId="0" fillId="0" fontId="10" numFmtId="0" xfId="0" applyFont="1"/>
    <xf borderId="0" fillId="0" fontId="11" numFmtId="0" xfId="0" applyAlignment="1" applyFont="1">
      <alignment horizontal="center" readingOrder="0" vertical="center"/>
    </xf>
    <xf borderId="0" fillId="0" fontId="6" numFmtId="0" xfId="0" applyAlignment="1" applyFont="1">
      <alignment vertical="bottom"/>
    </xf>
    <xf borderId="2" fillId="0" fontId="6" numFmtId="0" xfId="0" applyAlignment="1" applyBorder="1" applyFont="1">
      <alignment readingOrder="0"/>
    </xf>
    <xf borderId="0" fillId="0" fontId="6" numFmtId="0" xfId="0" applyAlignment="1" applyFont="1">
      <alignment horizontal="center" readingOrder="0" vertical="bottom"/>
    </xf>
    <xf borderId="0" fillId="0" fontId="7" numFmtId="0" xfId="0" applyAlignment="1" applyFont="1">
      <alignment readingOrder="0" vertical="bottom"/>
    </xf>
    <xf borderId="0" fillId="0" fontId="6" numFmtId="0" xfId="0" applyAlignment="1" applyFont="1">
      <alignment horizontal="center" vertical="bottom"/>
    </xf>
    <xf borderId="1" fillId="9" fontId="4" numFmtId="0" xfId="0" applyAlignment="1" applyBorder="1" applyFont="1">
      <alignment readingOrder="0"/>
    </xf>
    <xf borderId="1" fillId="0" fontId="4" numFmtId="0" xfId="0" applyAlignment="1" applyBorder="1" applyFont="1">
      <alignment readingOrder="0"/>
    </xf>
    <xf borderId="0" fillId="11" fontId="10" numFmtId="0" xfId="0" applyAlignment="1" applyFill="1" applyFont="1">
      <alignment readingOrder="0"/>
    </xf>
    <xf borderId="0" fillId="0" fontId="6" numFmtId="0" xfId="0" applyAlignment="1" applyFont="1">
      <alignment horizontal="left" readingOrder="0" shrinkToFit="0" vertical="center" wrapText="1"/>
    </xf>
    <xf borderId="0" fillId="0" fontId="16" numFmtId="0" xfId="0" applyAlignment="1" applyFont="1">
      <alignment horizontal="left" readingOrder="0"/>
    </xf>
    <xf borderId="1" fillId="12" fontId="4" numFmtId="0" xfId="0" applyAlignment="1" applyBorder="1" applyFill="1" applyFont="1">
      <alignment readingOrder="0"/>
    </xf>
    <xf borderId="0" fillId="0" fontId="6" numFmtId="0" xfId="0" applyAlignment="1" applyFont="1">
      <alignment horizontal="left"/>
    </xf>
    <xf borderId="1" fillId="12" fontId="6" numFmtId="0" xfId="0" applyAlignment="1" applyBorder="1" applyFont="1">
      <alignment horizontal="left" readingOrder="0" vertical="center"/>
    </xf>
    <xf borderId="0" fillId="13" fontId="6" numFmtId="0" xfId="0" applyAlignment="1" applyFill="1" applyFont="1">
      <alignment horizontal="left" readingOrder="0" vertical="center"/>
    </xf>
    <xf borderId="0" fillId="12" fontId="4" numFmtId="0" xfId="0" applyAlignment="1" applyFont="1">
      <alignment readingOrder="0"/>
    </xf>
    <xf borderId="0" fillId="12" fontId="6" numFmtId="0" xfId="0" applyAlignment="1" applyFont="1">
      <alignment horizontal="left" readingOrder="0" vertical="center"/>
    </xf>
    <xf borderId="0" fillId="0" fontId="11" numFmtId="0" xfId="0" applyAlignment="1" applyFont="1">
      <alignment horizontal="left" readingOrder="0" vertical="center"/>
    </xf>
    <xf borderId="0" fillId="0" fontId="17" numFmtId="0" xfId="0" applyAlignment="1" applyFont="1">
      <alignment horizontal="left" readingOrder="0" shrinkToFit="0" vertical="center" wrapText="0"/>
    </xf>
    <xf borderId="0" fillId="7" fontId="4" numFmtId="0" xfId="0" applyAlignment="1" applyFont="1">
      <alignment readingOrder="0" vertical="center"/>
    </xf>
    <xf borderId="0" fillId="3" fontId="7" numFmtId="0" xfId="0" applyAlignment="1" applyFont="1">
      <alignment horizontal="left" readingOrder="0" shrinkToFit="0" vertical="center" wrapText="0"/>
    </xf>
    <xf borderId="0" fillId="0" fontId="17" numFmtId="0" xfId="0" applyAlignment="1" applyFont="1">
      <alignment readingOrder="0"/>
    </xf>
    <xf borderId="0" fillId="14" fontId="6" numFmtId="0" xfId="0" applyAlignment="1" applyFill="1" applyFont="1">
      <alignment horizontal="left" readingOrder="0" vertical="center"/>
    </xf>
    <xf borderId="0" fillId="14" fontId="4" numFmtId="0" xfId="0" applyAlignment="1" applyFont="1">
      <alignment readingOrder="0"/>
    </xf>
    <xf borderId="0" fillId="0" fontId="6" numFmtId="0" xfId="0" applyAlignment="1" applyFont="1">
      <alignment readingOrder="0" shrinkToFit="0" vertical="bottom" wrapText="0"/>
    </xf>
    <xf borderId="0" fillId="3" fontId="10" numFmtId="0" xfId="0" applyAlignment="1" applyFont="1">
      <alignment readingOrder="0"/>
    </xf>
    <xf borderId="0" fillId="15" fontId="6" numFmtId="0" xfId="0" applyAlignment="1" applyFill="1" applyFont="1">
      <alignment horizontal="left" readingOrder="0" vertical="center"/>
    </xf>
    <xf borderId="0" fillId="15" fontId="4" numFmtId="0" xfId="0" applyAlignment="1" applyFont="1">
      <alignment readingOrder="0"/>
    </xf>
    <xf borderId="0" fillId="0" fontId="18" numFmtId="0" xfId="0" applyAlignment="1" applyFont="1">
      <alignment readingOrder="0"/>
    </xf>
    <xf borderId="0" fillId="3" fontId="7" numFmtId="0" xfId="0" applyAlignment="1" applyFont="1">
      <alignment horizontal="left" readingOrder="0" vertical="center"/>
    </xf>
    <xf borderId="0" fillId="7" fontId="6" numFmtId="0" xfId="0" applyAlignment="1" applyFont="1">
      <alignment readingOrder="0"/>
    </xf>
    <xf borderId="0" fillId="0" fontId="11" numFmtId="0" xfId="0" applyFont="1"/>
    <xf borderId="0" fillId="0" fontId="4" numFmtId="0" xfId="0" applyAlignment="1" applyFont="1">
      <alignment horizontal="center"/>
    </xf>
    <xf borderId="3" fillId="0" fontId="5" numFmtId="0" xfId="0" applyAlignment="1" applyBorder="1" applyFont="1">
      <alignment readingOrder="0" vertical="bottom"/>
    </xf>
    <xf borderId="4" fillId="16" fontId="19" numFmtId="0" xfId="0" applyAlignment="1" applyBorder="1" applyFill="1" applyFont="1">
      <alignment readingOrder="0"/>
    </xf>
    <xf borderId="5" fillId="16" fontId="20" numFmtId="0" xfId="0" applyAlignment="1" applyBorder="1" applyFont="1">
      <alignment horizontal="center" readingOrder="0"/>
    </xf>
    <xf borderId="6" fillId="16" fontId="20" numFmtId="0" xfId="0" applyAlignment="1" applyBorder="1" applyFont="1">
      <alignment horizontal="center" readingOrder="0"/>
    </xf>
    <xf borderId="7" fillId="0" fontId="21" numFmtId="0" xfId="0" applyAlignment="1" applyBorder="1" applyFont="1">
      <alignment readingOrder="0"/>
    </xf>
    <xf borderId="8" fillId="0" fontId="21" numFmtId="0" xfId="0" applyBorder="1" applyFont="1"/>
    <xf borderId="9" fillId="0" fontId="21" numFmtId="0" xfId="0" applyAlignment="1" applyBorder="1" applyFont="1">
      <alignment readingOrder="0"/>
    </xf>
    <xf borderId="0" fillId="0" fontId="22" numFmtId="0" xfId="0" applyAlignment="1" applyFont="1">
      <alignment horizontal="left"/>
    </xf>
    <xf borderId="10" fillId="0" fontId="22" numFmtId="0" xfId="0" applyAlignment="1" applyBorder="1" applyFont="1">
      <alignment horizontal="left"/>
    </xf>
    <xf borderId="9" fillId="0" fontId="6" numFmtId="0" xfId="0" applyAlignment="1" applyBorder="1" applyFont="1">
      <alignment readingOrder="0" vertical="bottom"/>
    </xf>
    <xf borderId="8" fillId="0" fontId="23" numFmtId="0" xfId="0" applyAlignment="1" applyBorder="1" applyFont="1">
      <alignment readingOrder="0"/>
    </xf>
    <xf borderId="9" fillId="0" fontId="4" numFmtId="0" xfId="0" applyAlignment="1" applyBorder="1" applyFont="1">
      <alignment readingOrder="0"/>
    </xf>
    <xf borderId="11" fillId="11" fontId="24" numFmtId="0" xfId="0" applyAlignment="1" applyBorder="1" applyFont="1">
      <alignment horizontal="left" readingOrder="0"/>
    </xf>
    <xf borderId="9" fillId="0" fontId="23" numFmtId="0" xfId="0" applyAlignment="1" applyBorder="1" applyFont="1">
      <alignment readingOrder="0"/>
    </xf>
    <xf borderId="0" fillId="0" fontId="25" numFmtId="0" xfId="0" applyFont="1"/>
    <xf borderId="0" fillId="0" fontId="21" numFmtId="0" xfId="0" applyAlignment="1" applyFont="1">
      <alignment readingOrder="0"/>
    </xf>
    <xf borderId="12" fillId="17" fontId="1" numFmtId="0" xfId="0" applyAlignment="1" applyBorder="1" applyFill="1" applyFont="1">
      <alignment readingOrder="0"/>
    </xf>
    <xf borderId="13" fillId="0" fontId="22" numFmtId="0" xfId="0" applyAlignment="1" applyBorder="1" applyFont="1">
      <alignment horizontal="left"/>
    </xf>
    <xf borderId="14" fillId="0" fontId="22" numFmtId="0" xfId="0" applyAlignment="1" applyBorder="1" applyFont="1">
      <alignment horizontal="left"/>
    </xf>
    <xf borderId="0" fillId="0" fontId="26" numFmtId="0" xfId="0" applyAlignment="1" applyFont="1">
      <alignment horizontal="right" readingOrder="0"/>
    </xf>
    <xf borderId="4" fillId="0" fontId="27" numFmtId="0" xfId="0" applyAlignment="1" applyBorder="1" applyFont="1">
      <alignment readingOrder="0"/>
    </xf>
    <xf borderId="4" fillId="0" fontId="22" numFmtId="0" xfId="0" applyAlignment="1" applyBorder="1" applyFont="1">
      <alignment horizontal="left"/>
    </xf>
    <xf borderId="5" fillId="0" fontId="22" numFmtId="0" xfId="0" applyAlignment="1" applyBorder="1" applyFont="1">
      <alignment horizontal="left"/>
    </xf>
    <xf borderId="6" fillId="0" fontId="22" numFmtId="0" xfId="0" applyAlignment="1" applyBorder="1" applyFont="1">
      <alignment horizontal="left"/>
    </xf>
    <xf borderId="0" fillId="0" fontId="10" numFmtId="0" xfId="0" applyAlignment="1" applyFont="1">
      <alignment horizontal="right" readingOrder="0"/>
    </xf>
    <xf borderId="9" fillId="0" fontId="28" numFmtId="0" xfId="0" applyAlignment="1" applyBorder="1" applyFont="1">
      <alignment readingOrder="0"/>
    </xf>
    <xf borderId="9" fillId="0" fontId="22" numFmtId="0" xfId="0" applyAlignment="1" applyBorder="1" applyFont="1">
      <alignment horizontal="left"/>
    </xf>
    <xf borderId="9" fillId="0" fontId="27" numFmtId="0" xfId="0" applyAlignment="1" applyBorder="1" applyFont="1">
      <alignment readingOrder="0"/>
    </xf>
    <xf borderId="15" fillId="0" fontId="21" numFmtId="0" xfId="0" applyAlignment="1" applyBorder="1" applyFont="1">
      <alignment readingOrder="0"/>
    </xf>
    <xf borderId="16" fillId="0" fontId="4" numFmtId="0" xfId="0" applyBorder="1" applyFont="1"/>
    <xf borderId="17" fillId="0" fontId="4" numFmtId="0" xfId="0" applyBorder="1" applyFont="1"/>
    <xf borderId="12" fillId="0" fontId="28" numFmtId="0" xfId="0" applyAlignment="1" applyBorder="1" applyFont="1">
      <alignment readingOrder="0"/>
    </xf>
    <xf borderId="12" fillId="0" fontId="22" numFmtId="0" xfId="0" applyAlignment="1" applyBorder="1" applyFont="1">
      <alignment horizontal="left"/>
    </xf>
    <xf borderId="0" fillId="0" fontId="29" numFmtId="0" xfId="0" applyAlignment="1" applyFont="1">
      <alignment readingOrder="0"/>
    </xf>
    <xf borderId="0" fillId="0" fontId="30" numFmtId="0" xfId="0" applyAlignment="1" applyFont="1">
      <alignment horizontal="center"/>
    </xf>
    <xf borderId="0" fillId="0" fontId="4" numFmtId="0" xfId="0" applyAlignment="1" applyFont="1">
      <alignment horizontal="left"/>
    </xf>
    <xf borderId="0" fillId="0" fontId="10" numFmtId="9" xfId="0" applyAlignment="1" applyFont="1" applyNumberFormat="1">
      <alignment horizontal="center" readingOrder="0"/>
    </xf>
    <xf borderId="0" fillId="0" fontId="10" numFmtId="0" xfId="0" applyAlignment="1" applyFont="1">
      <alignment horizontal="center"/>
    </xf>
    <xf borderId="3" fillId="0" fontId="21" numFmtId="0" xfId="0" applyAlignment="1" applyBorder="1" applyFont="1">
      <alignment readingOrder="0"/>
    </xf>
    <xf borderId="0" fillId="18" fontId="21" numFmtId="0" xfId="0" applyAlignment="1" applyFill="1" applyFont="1">
      <alignment horizontal="center" readingOrder="0"/>
    </xf>
    <xf borderId="0" fillId="19" fontId="21" numFmtId="0" xfId="0" applyAlignment="1" applyFill="1" applyFont="1">
      <alignment horizontal="center" readingOrder="0"/>
    </xf>
    <xf borderId="0" fillId="13" fontId="21" numFmtId="0" xfId="0" applyAlignment="1" applyFont="1">
      <alignment horizontal="center" readingOrder="0"/>
    </xf>
    <xf borderId="0" fillId="20" fontId="21" numFmtId="0" xfId="0" applyAlignment="1" applyFill="1" applyFont="1">
      <alignment horizontal="center" readingOrder="0"/>
    </xf>
    <xf borderId="0" fillId="21" fontId="19" numFmtId="0" xfId="0" applyAlignment="1" applyFill="1" applyFont="1">
      <alignment horizontal="center" readingOrder="0"/>
    </xf>
    <xf borderId="0" fillId="0" fontId="21" numFmtId="0" xfId="0" applyAlignment="1" applyFont="1">
      <alignment horizontal="center" readingOrder="0"/>
    </xf>
    <xf borderId="3" fillId="0" fontId="21" numFmtId="0" xfId="0" applyAlignment="1" applyBorder="1" applyFont="1">
      <alignment horizontal="center" readingOrder="0"/>
    </xf>
    <xf borderId="0" fillId="22" fontId="31" numFmtId="0" xfId="0" applyAlignment="1" applyFill="1" applyFont="1">
      <alignment horizontal="right"/>
    </xf>
    <xf borderId="8" fillId="0" fontId="4" numFmtId="0" xfId="0" applyBorder="1" applyFont="1"/>
    <xf borderId="0" fillId="22" fontId="22" numFmtId="0" xfId="0" applyAlignment="1" applyFont="1">
      <alignment horizontal="center"/>
    </xf>
    <xf borderId="0" fillId="0" fontId="4" numFmtId="0" xfId="0" applyAlignment="1" applyFont="1">
      <alignment horizontal="left" readingOrder="0"/>
    </xf>
    <xf borderId="8" fillId="0" fontId="4" numFmtId="0" xfId="0" applyAlignment="1" applyBorder="1" applyFont="1">
      <alignment horizontal="center"/>
    </xf>
    <xf borderId="0" fillId="0" fontId="4" numFmtId="10" xfId="0" applyFont="1" applyNumberFormat="1"/>
    <xf borderId="0" fillId="0" fontId="21" numFmtId="0" xfId="0" applyAlignment="1" applyFont="1">
      <alignment horizontal="right" readingOrder="0"/>
    </xf>
    <xf borderId="0" fillId="23" fontId="4" numFmtId="0" xfId="0" applyAlignment="1" applyFill="1" applyFont="1">
      <alignment horizontal="left" readingOrder="0"/>
    </xf>
    <xf borderId="0" fillId="23" fontId="4" numFmtId="10" xfId="0" applyFont="1" applyNumberFormat="1"/>
    <xf borderId="13" fillId="23" fontId="4" numFmtId="0" xfId="0" applyAlignment="1" applyBorder="1" applyFont="1">
      <alignment horizontal="left" readingOrder="0"/>
    </xf>
    <xf borderId="11" fillId="0" fontId="4" numFmtId="0" xfId="0" applyAlignment="1" applyBorder="1" applyFont="1">
      <alignment horizontal="center"/>
    </xf>
    <xf borderId="13" fillId="23" fontId="4" numFmtId="10" xfId="0" applyBorder="1" applyFont="1" applyNumberFormat="1"/>
    <xf borderId="5" fillId="23" fontId="4" numFmtId="0" xfId="0" applyAlignment="1" applyBorder="1" applyFont="1">
      <alignment horizontal="left" readingOrder="0"/>
    </xf>
    <xf borderId="3" fillId="23" fontId="4" numFmtId="0" xfId="0" applyAlignment="1" applyBorder="1" applyFont="1">
      <alignment horizontal="center"/>
    </xf>
    <xf borderId="5" fillId="23" fontId="4" numFmtId="10" xfId="0" applyBorder="1" applyFont="1" applyNumberFormat="1"/>
    <xf borderId="0" fillId="24" fontId="4" numFmtId="0" xfId="0" applyAlignment="1" applyFill="1" applyFont="1">
      <alignment horizontal="left" readingOrder="0"/>
    </xf>
    <xf borderId="8" fillId="24" fontId="4" numFmtId="0" xfId="0" applyAlignment="1" applyBorder="1" applyFont="1">
      <alignment horizontal="center"/>
    </xf>
    <xf borderId="0" fillId="24" fontId="4" numFmtId="10" xfId="0" applyFont="1" applyNumberFormat="1"/>
    <xf borderId="0" fillId="0" fontId="21" numFmtId="0" xfId="0" applyAlignment="1" applyFont="1">
      <alignment horizontal="right"/>
    </xf>
    <xf borderId="11" fillId="0" fontId="4" numFmtId="0" xfId="0" applyBorder="1" applyFont="1"/>
    <xf borderId="0" fillId="0" fontId="15" numFmtId="0" xfId="0" applyAlignment="1" applyFont="1">
      <alignment horizontal="left" readingOrder="0"/>
    </xf>
    <xf borderId="0" fillId="22" fontId="22" numFmtId="0" xfId="0" applyFont="1"/>
    <xf borderId="0" fillId="0" fontId="15" numFmtId="0" xfId="0" applyFont="1"/>
    <xf borderId="0" fillId="25" fontId="3" numFmtId="0" xfId="0" applyAlignment="1" applyFill="1" applyFont="1">
      <alignment shrinkToFit="0" wrapText="1"/>
    </xf>
    <xf borderId="0" fillId="25" fontId="2" numFmtId="0" xfId="0" applyAlignment="1" applyFont="1">
      <alignment horizontal="center"/>
    </xf>
    <xf borderId="0" fillId="26" fontId="2" numFmtId="0" xfId="0" applyAlignment="1" applyFill="1" applyFont="1">
      <alignment horizontal="center"/>
    </xf>
    <xf borderId="0" fillId="26" fontId="2" numFmtId="0" xfId="0" applyAlignment="1" applyFont="1">
      <alignment readingOrder="0"/>
    </xf>
    <xf borderId="0" fillId="2" fontId="2" numFmtId="0" xfId="0" applyAlignment="1" applyFont="1">
      <alignment horizontal="left"/>
    </xf>
    <xf borderId="0" fillId="2" fontId="4" numFmtId="0" xfId="0" applyFont="1"/>
    <xf borderId="0" fillId="5" fontId="6" numFmtId="0" xfId="0" applyAlignment="1" applyFont="1">
      <alignment readingOrder="0" vertical="bottom"/>
    </xf>
    <xf borderId="0" fillId="16" fontId="2" numFmtId="0" xfId="0" applyAlignment="1" applyFont="1">
      <alignment horizontal="left" readingOrder="0"/>
    </xf>
    <xf borderId="0" fillId="25" fontId="2" numFmtId="0" xfId="0" applyAlignment="1" applyFont="1">
      <alignment shrinkToFit="0" wrapText="1"/>
    </xf>
    <xf borderId="0" fillId="5" fontId="6" numFmtId="0" xfId="0" applyFont="1"/>
    <xf borderId="0" fillId="0" fontId="6" numFmtId="0" xfId="0" applyFont="1"/>
    <xf borderId="0" fillId="5" fontId="6" numFmtId="0" xfId="0" applyAlignment="1" applyFont="1">
      <alignment vertical="bottom"/>
    </xf>
    <xf borderId="0" fillId="10" fontId="6" numFmtId="0" xfId="0" applyAlignment="1" applyFont="1">
      <alignment vertical="bottom"/>
    </xf>
    <xf borderId="0" fillId="10" fontId="6" numFmtId="0" xfId="0" applyFont="1"/>
    <xf borderId="0" fillId="14" fontId="6" numFmtId="0" xfId="0" applyFont="1"/>
    <xf borderId="0" fillId="0" fontId="6" numFmtId="0" xfId="0" applyAlignment="1" applyFont="1">
      <alignment shrinkToFit="0" wrapText="0"/>
    </xf>
    <xf borderId="0" fillId="14" fontId="6" numFmtId="0" xfId="0" applyAlignment="1" applyFont="1">
      <alignment vertical="bottom"/>
    </xf>
    <xf borderId="0" fillId="15" fontId="6" numFmtId="0" xfId="0" applyFont="1"/>
    <xf borderId="0" fillId="22" fontId="32" numFmtId="0" xfId="0" applyAlignment="1" applyFont="1">
      <alignment horizontal="left" readingOrder="0"/>
    </xf>
    <xf borderId="0" fillId="0" fontId="7" numFmtId="0" xfId="0" applyAlignment="1" applyFont="1">
      <alignment horizontal="left" readingOrder="0" shrinkToFit="0" vertical="center" wrapText="1"/>
    </xf>
    <xf borderId="0" fillId="27" fontId="6" numFmtId="0" xfId="0" applyAlignment="1" applyFill="1" applyFont="1">
      <alignment horizontal="center" readingOrder="0" vertical="center"/>
    </xf>
  </cellXfs>
  <cellStyles count="1">
    <cellStyle xfId="0" name="Normal" builtinId="0"/>
  </cellStyles>
  <dxfs count="6">
    <dxf>
      <font>
        <color theme="0"/>
      </font>
      <fill>
        <patternFill patternType="solid">
          <fgColor rgb="FF351C75"/>
          <bgColor rgb="FF351C75"/>
        </patternFill>
      </fill>
      <border/>
    </dxf>
    <dxf>
      <font/>
      <fill>
        <patternFill patternType="solid">
          <fgColor rgb="FFFFD966"/>
          <bgColor rgb="FFFFD966"/>
        </patternFill>
      </fill>
      <border/>
    </dxf>
    <dxf>
      <font/>
      <fill>
        <patternFill patternType="solid">
          <fgColor rgb="FF4A86E8"/>
          <bgColor rgb="FF4A86E8"/>
        </patternFill>
      </fill>
      <border/>
    </dxf>
    <dxf>
      <font>
        <color rgb="FFFFFFFF"/>
      </font>
      <fill>
        <patternFill patternType="solid">
          <fgColor rgb="FFE06666"/>
          <bgColor rgb="FFE06666"/>
        </patternFill>
      </fill>
      <border/>
    </dxf>
    <dxf>
      <font/>
      <fill>
        <patternFill patternType="solid">
          <fgColor rgb="FF93C47D"/>
          <bgColor rgb="FF93C47D"/>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Distribution Cost</a:t>
            </a:r>
          </a:p>
        </c:rich>
      </c:tx>
      <c:layout>
        <c:manualLayout>
          <c:xMode val="edge"/>
          <c:yMode val="edge"/>
          <c:x val="0.04091666666666667"/>
          <c:y val="0.04730458221024259"/>
        </c:manualLayout>
      </c:layout>
      <c:overlay val="0"/>
    </c:title>
    <c:plotArea>
      <c:layout/>
      <c:barChart>
        <c:barDir val="col"/>
        <c:ser>
          <c:idx val="0"/>
          <c:order val="0"/>
          <c:spPr>
            <a:solidFill>
              <a:schemeClr val="accent1"/>
            </a:solidFill>
            <a:ln cmpd="sng">
              <a:solidFill>
                <a:srgbClr val="000000"/>
              </a:solidFill>
            </a:ln>
          </c:spPr>
          <c:cat>
            <c:strRef>
              <c:f>Statistik!$I$2:$I$12</c:f>
            </c:strRef>
          </c:cat>
          <c:val>
            <c:numRef>
              <c:f>Statistik!$K$2:$K$12</c:f>
              <c:numCache/>
            </c:numRef>
          </c:val>
        </c:ser>
        <c:axId val="284394044"/>
        <c:axId val="1493377320"/>
      </c:barChart>
      <c:catAx>
        <c:axId val="28439404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Wert</a:t>
                </a:r>
              </a:p>
            </c:rich>
          </c:tx>
          <c:overlay val="0"/>
        </c:title>
        <c:numFmt formatCode="General" sourceLinked="1"/>
        <c:majorTickMark val="none"/>
        <c:minorTickMark val="none"/>
        <c:spPr/>
        <c:txPr>
          <a:bodyPr/>
          <a:lstStyle/>
          <a:p>
            <a:pPr lvl="0">
              <a:defRPr b="0">
                <a:solidFill>
                  <a:srgbClr val="000000"/>
                </a:solidFill>
                <a:latin typeface="+mn-lt"/>
              </a:defRPr>
            </a:pPr>
          </a:p>
        </c:txPr>
        <c:crossAx val="1493377320"/>
      </c:catAx>
      <c:valAx>
        <c:axId val="149337732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84394044"/>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333375</xdr:colOff>
      <xdr:row>0</xdr:row>
      <xdr:rowOff>38100</xdr:rowOff>
    </xdr:from>
    <xdr:ext cx="5715000" cy="3533775"/>
    <xdr:graphicFrame>
      <xdr:nvGraphicFramePr>
        <xdr:cNvPr id="1" name="Chart 1" title="Diagramm"/>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alpha.midjourney.com/jobs/85566897-5ef8-42df-8c72-36628a9dd9fc?index=1" TargetMode="External"/><Relationship Id="rId42" Type="http://schemas.openxmlformats.org/officeDocument/2006/relationships/hyperlink" Target="https://alpha.midjourney.com/jobs/eb74e363-ce23-4333-bf1a-9e45b5410528?index=3" TargetMode="External"/><Relationship Id="rId41" Type="http://schemas.openxmlformats.org/officeDocument/2006/relationships/hyperlink" Target="https://alpha.midjourney.com/jobs/96dd861b-6cf4-403c-b701-35339b8bf72c?index=0" TargetMode="External"/><Relationship Id="rId44" Type="http://schemas.openxmlformats.org/officeDocument/2006/relationships/hyperlink" Target="https://alpha.midjourney.com/jobs/d2520d33-6384-48e1-a0ac-2b40bcba9c67?index=2" TargetMode="External"/><Relationship Id="rId43" Type="http://schemas.openxmlformats.org/officeDocument/2006/relationships/hyperlink" Target="https://alpha.midjourney.com/jobs/ae7c802d-5bb3-4e5c-935f-0989f835981b?index=3" TargetMode="External"/><Relationship Id="rId46" Type="http://schemas.openxmlformats.org/officeDocument/2006/relationships/hyperlink" Target="https://alpha.midjourney.com/jobs/9062fc96-38af-4b94-bb8b-58724ee3e784?index=3" TargetMode="External"/><Relationship Id="rId45" Type="http://schemas.openxmlformats.org/officeDocument/2006/relationships/hyperlink" Target="https://alpha.midjourney.com/jobs/65856a62-0cc5-4789-aeaa-4499b714d3e5?index=0" TargetMode="External"/><Relationship Id="rId107" Type="http://schemas.openxmlformats.org/officeDocument/2006/relationships/hyperlink" Target="https://alpha.midjourney.com/jobs/86e09484-75c2-4d9e-b33e-31faa3d4e251?index=2" TargetMode="External"/><Relationship Id="rId106" Type="http://schemas.openxmlformats.org/officeDocument/2006/relationships/hyperlink" Target="https://alpha.midjourney.com/jobs/31869c2e-79e0-44a2-bcb2-ef2489f226ad?index=3" TargetMode="External"/><Relationship Id="rId105" Type="http://schemas.openxmlformats.org/officeDocument/2006/relationships/hyperlink" Target="https://alpha.midjourney.com/jobs/da48772a-b4d4-44f8-8d55-428c4b7750df?index=1" TargetMode="External"/><Relationship Id="rId104" Type="http://schemas.openxmlformats.org/officeDocument/2006/relationships/hyperlink" Target="https://alpha.midjourney.com/jobs/a5b23374-c9e0-4cc3-ac9e-7cc693ab07b6?index=1" TargetMode="External"/><Relationship Id="rId109" Type="http://schemas.openxmlformats.org/officeDocument/2006/relationships/hyperlink" Target="https://alpha.midjourney.com/jobs/02a937b0-dc30-4b61-a80a-775950a47d1e?index=0" TargetMode="External"/><Relationship Id="rId108" Type="http://schemas.openxmlformats.org/officeDocument/2006/relationships/hyperlink" Target="https://alpha.midjourney.com/jobs/68e2c61d-f9ac-435e-8eb9-44ef82724758?index=1" TargetMode="External"/><Relationship Id="rId48" Type="http://schemas.openxmlformats.org/officeDocument/2006/relationships/hyperlink" Target="https://alpha.midjourney.com/jobs/2593ed6f-b67a-4e7f-a8f9-a36157ed8f86?index=1" TargetMode="External"/><Relationship Id="rId47" Type="http://schemas.openxmlformats.org/officeDocument/2006/relationships/hyperlink" Target="https://alpha.midjourney.com/jobs/f0b193a4-3e5e-45a0-b6e9-a1b7fcfb4f49?index=2" TargetMode="External"/><Relationship Id="rId49" Type="http://schemas.openxmlformats.org/officeDocument/2006/relationships/hyperlink" Target="https://alpha.midjourney.com/jobs/bce13b19-a5b7-4895-991c-a343e7295bea?index=2" TargetMode="External"/><Relationship Id="rId103" Type="http://schemas.openxmlformats.org/officeDocument/2006/relationships/hyperlink" Target="https://alpha.midjourney.com/jobs/ee08debf-6dfa-4c1a-b68d-af2815e27ecd?index=0" TargetMode="External"/><Relationship Id="rId102" Type="http://schemas.openxmlformats.org/officeDocument/2006/relationships/hyperlink" Target="https://alpha.midjourney.com/jobs/e8e96f76-94bd-41ae-b1bd-4ca96aebdd1e?index=3" TargetMode="External"/><Relationship Id="rId101" Type="http://schemas.openxmlformats.org/officeDocument/2006/relationships/hyperlink" Target="https://alpha.midjourney.com/jobs/04e07353-17ab-4846-84bc-818bc402f09d?index=1" TargetMode="External"/><Relationship Id="rId100" Type="http://schemas.openxmlformats.org/officeDocument/2006/relationships/hyperlink" Target="https://alpha.midjourney.com/jobs/b1f8f3d5-445f-4c75-8c69-dc3c00dd6a2a?index=1" TargetMode="External"/><Relationship Id="rId31" Type="http://schemas.openxmlformats.org/officeDocument/2006/relationships/hyperlink" Target="https://alpha.midjourney.com/jobs/fb9ad282-f768-4726-b79b-f40c11d0277b?index=3" TargetMode="External"/><Relationship Id="rId30" Type="http://schemas.openxmlformats.org/officeDocument/2006/relationships/hyperlink" Target="https://alpha.midjourney.com/jobs/ed7547f6-59f6-4674-8e51-448f70e1a062?index=1" TargetMode="External"/><Relationship Id="rId33" Type="http://schemas.openxmlformats.org/officeDocument/2006/relationships/hyperlink" Target="https://alpha.midjourney.com/jobs/4e1424fd-a4dd-430d-b5db-da68488eb78a?index=0" TargetMode="External"/><Relationship Id="rId32" Type="http://schemas.openxmlformats.org/officeDocument/2006/relationships/hyperlink" Target="https://alpha.midjourney.com/jobs/b6b028b1-6920-4dde-9694-73d589c7969e?index=1" TargetMode="External"/><Relationship Id="rId35" Type="http://schemas.openxmlformats.org/officeDocument/2006/relationships/hyperlink" Target="https://alpha.midjourney.com/jobs/f92d2267-2cb6-459f-b8f4-07c280426a32?index=2" TargetMode="External"/><Relationship Id="rId34" Type="http://schemas.openxmlformats.org/officeDocument/2006/relationships/hyperlink" Target="https://alpha.midjourney.com/jobs/496903ec-9e29-4e96-baed-fbc1c72e67a2?index=3" TargetMode="External"/><Relationship Id="rId37" Type="http://schemas.openxmlformats.org/officeDocument/2006/relationships/hyperlink" Target="https://alpha.midjourney.com/jobs/4b963210-17ec-4cc9-9a83-f38a7692af0e?index=3" TargetMode="External"/><Relationship Id="rId36" Type="http://schemas.openxmlformats.org/officeDocument/2006/relationships/hyperlink" Target="https://alpha.midjourney.com/jobs/0867635b-b993-4e89-adc9-840fac5e98ae?index=2" TargetMode="External"/><Relationship Id="rId39" Type="http://schemas.openxmlformats.org/officeDocument/2006/relationships/hyperlink" Target="https://alpha.midjourney.com/jobs/fe304cba-fe68-4bea-a089-694d2e71a394?index=2" TargetMode="External"/><Relationship Id="rId38" Type="http://schemas.openxmlformats.org/officeDocument/2006/relationships/hyperlink" Target="https://alpha.midjourney.com/jobs/4efd2e1b-a113-49a0-8b09-a71768bc7f0a?index=1" TargetMode="External"/><Relationship Id="rId20" Type="http://schemas.openxmlformats.org/officeDocument/2006/relationships/hyperlink" Target="https://alpha.midjourney.com/jobs/10569df3-af61-474e-9997-08b1211eac4b?index=3" TargetMode="External"/><Relationship Id="rId22" Type="http://schemas.openxmlformats.org/officeDocument/2006/relationships/hyperlink" Target="https://alpha.midjourney.com/jobs/13499ec2-9a5a-4595-9ccd-fbcfe0fffeaf?index=0" TargetMode="External"/><Relationship Id="rId21" Type="http://schemas.openxmlformats.org/officeDocument/2006/relationships/hyperlink" Target="https://alpha.midjourney.com/jobs/a6b9796b-edf3-4af3-9ed5-c8182508947e?index=1" TargetMode="External"/><Relationship Id="rId24" Type="http://schemas.openxmlformats.org/officeDocument/2006/relationships/hyperlink" Target="https://alpha.midjourney.com/jobs/13533eea-4c56-4787-a8d1-5b5de4d2fe40?index=0" TargetMode="External"/><Relationship Id="rId23" Type="http://schemas.openxmlformats.org/officeDocument/2006/relationships/hyperlink" Target="https://alpha.midjourney.com/jobs/250e747b-c7e8-4a5b-a483-65446cd307aa?index=2" TargetMode="External"/><Relationship Id="rId129" Type="http://schemas.openxmlformats.org/officeDocument/2006/relationships/hyperlink" Target="https://alpha.midjourney.com/jobs/3e4015d3-c57e-4d12-9ddb-df5fcfb9d19d?index=0" TargetMode="External"/><Relationship Id="rId128" Type="http://schemas.openxmlformats.org/officeDocument/2006/relationships/hyperlink" Target="https://alpha.midjourney.com/jobs/1368b59f-6a3a-4f37-b704-dc0023c5a39b?index=3" TargetMode="External"/><Relationship Id="rId127" Type="http://schemas.openxmlformats.org/officeDocument/2006/relationships/hyperlink" Target="https://alpha.midjourney.com/jobs/1368b59f-6a3a-4f37-b704-dc0023c5a39b?index=0" TargetMode="External"/><Relationship Id="rId126" Type="http://schemas.openxmlformats.org/officeDocument/2006/relationships/hyperlink" Target="https://alpha.midjourney.com/jobs/a4c0044f-a986-4aa9-87bf-000b67966a4b?index=0" TargetMode="External"/><Relationship Id="rId26" Type="http://schemas.openxmlformats.org/officeDocument/2006/relationships/hyperlink" Target="https://alpha.midjourney.com/jobs/0cf0be47-c57f-4feb-84e6-1790219ba54b?index=0" TargetMode="External"/><Relationship Id="rId121" Type="http://schemas.openxmlformats.org/officeDocument/2006/relationships/hyperlink" Target="https://alpha.midjourney.com/jobs/bb160c1d-6202-4543-88a9-152dadcce248?index=2" TargetMode="External"/><Relationship Id="rId25" Type="http://schemas.openxmlformats.org/officeDocument/2006/relationships/hyperlink" Target="https://alpha.midjourney.com/jobs/9ccceaff-97a6-4625-9bea-6567b85c04ef?index=0" TargetMode="External"/><Relationship Id="rId120" Type="http://schemas.openxmlformats.org/officeDocument/2006/relationships/hyperlink" Target="https://alpha.midjourney.com/jobs/20fb2d42-8fe0-4690-82e2-b7936769540e?index=1" TargetMode="External"/><Relationship Id="rId28" Type="http://schemas.openxmlformats.org/officeDocument/2006/relationships/hyperlink" Target="https://alpha.midjourney.com/jobs/557ea44c-dc30-4519-93c0-96caf2f97815?index=3" TargetMode="External"/><Relationship Id="rId27" Type="http://schemas.openxmlformats.org/officeDocument/2006/relationships/hyperlink" Target="https://alpha.midjourney.com/jobs/a408d92c-6e6e-4d30-93ad-e526a5c9555f?index=3" TargetMode="External"/><Relationship Id="rId125" Type="http://schemas.openxmlformats.org/officeDocument/2006/relationships/hyperlink" Target="https://alpha.midjourney.com/jobs/bdfca501-4b58-4f97-83e7-bcf89c7e7f5e?index=0" TargetMode="External"/><Relationship Id="rId29" Type="http://schemas.openxmlformats.org/officeDocument/2006/relationships/hyperlink" Target="https://alpha.midjourney.com/jobs/3644d9f4-a154-4538-96ea-489d6da10cda?index=2" TargetMode="External"/><Relationship Id="rId124" Type="http://schemas.openxmlformats.org/officeDocument/2006/relationships/hyperlink" Target="https://alpha.midjourney.com/jobs/da9010de-44c1-42bf-8bbc-f7eb026c1882?index=2" TargetMode="External"/><Relationship Id="rId123" Type="http://schemas.openxmlformats.org/officeDocument/2006/relationships/hyperlink" Target="https://alpha.midjourney.com/jobs/42ab612c-d4a4-4640-b0eb-a0098355068a?index=1" TargetMode="External"/><Relationship Id="rId122" Type="http://schemas.openxmlformats.org/officeDocument/2006/relationships/hyperlink" Target="https://alpha.midjourney.com/jobs/42ab612c-d4a4-4640-b0eb-a0098355068a?index=2" TargetMode="External"/><Relationship Id="rId95" Type="http://schemas.openxmlformats.org/officeDocument/2006/relationships/hyperlink" Target="https://alpha.midjourney.com/jobs/304afcfd-7894-408f-9075-b9665b0da9bb?index=1" TargetMode="External"/><Relationship Id="rId94" Type="http://schemas.openxmlformats.org/officeDocument/2006/relationships/hyperlink" Target="https://alpha.midjourney.com/jobs/11cea0b5-15f6-46ea-9c98-85147c5d0c1d?index=2" TargetMode="External"/><Relationship Id="rId97" Type="http://schemas.openxmlformats.org/officeDocument/2006/relationships/hyperlink" Target="https://alpha.midjourney.com/jobs/efc96ed0-d87b-4d29-bb86-f29795728bf8?index=2" TargetMode="External"/><Relationship Id="rId96" Type="http://schemas.openxmlformats.org/officeDocument/2006/relationships/hyperlink" Target="https://alpha.midjourney.com/jobs/3f700745-93e9-491e-b302-0f3b8129cd3a?index=3" TargetMode="External"/><Relationship Id="rId11" Type="http://schemas.openxmlformats.org/officeDocument/2006/relationships/hyperlink" Target="https://alpha.midjourney.com/jobs/22993c97-4c0e-4b20-b61e-0765854b1d0c?index=2" TargetMode="External"/><Relationship Id="rId99" Type="http://schemas.openxmlformats.org/officeDocument/2006/relationships/hyperlink" Target="https://alpha.midjourney.com/jobs/b1f8f3d5-445f-4c75-8c69-dc3c00dd6a2a?index=3" TargetMode="External"/><Relationship Id="rId10" Type="http://schemas.openxmlformats.org/officeDocument/2006/relationships/hyperlink" Target="https://alpha.midjourney.com/jobs/2fb88f6b-7b37-40f3-9ddf-e46da64b9024?index=2" TargetMode="External"/><Relationship Id="rId98" Type="http://schemas.openxmlformats.org/officeDocument/2006/relationships/hyperlink" Target="https://alpha.midjourney.com/jobs/b6935539-efed-401f-850a-d485cb53a209?index=2" TargetMode="External"/><Relationship Id="rId13" Type="http://schemas.openxmlformats.org/officeDocument/2006/relationships/hyperlink" Target="https://alpha.midjourney.com/jobs/bf2b9797-ca47-418b-8b51-f73b166d794e?index=0" TargetMode="External"/><Relationship Id="rId12" Type="http://schemas.openxmlformats.org/officeDocument/2006/relationships/hyperlink" Target="https://alpha.midjourney.com/jobs/e10bf9b3-3d4a-458c-b4e9-595c4cddd9bf?index=0" TargetMode="External"/><Relationship Id="rId91" Type="http://schemas.openxmlformats.org/officeDocument/2006/relationships/hyperlink" Target="https://alpha.midjourney.com/jobs/0c2fcc58-1cd5-4e2c-9953-06ae99527acc?index=3" TargetMode="External"/><Relationship Id="rId90" Type="http://schemas.openxmlformats.org/officeDocument/2006/relationships/hyperlink" Target="https://alpha.midjourney.com/jobs/677914ad-f8cb-4855-b453-f47da8640844?index=0" TargetMode="External"/><Relationship Id="rId93" Type="http://schemas.openxmlformats.org/officeDocument/2006/relationships/hyperlink" Target="https://alpha.midjourney.com/jobs/cb83f03b-5441-4ab6-acd4-d6c23cfbf1b0?index=1" TargetMode="External"/><Relationship Id="rId92" Type="http://schemas.openxmlformats.org/officeDocument/2006/relationships/hyperlink" Target="https://alpha.midjourney.com/jobs/cb83f03b-5441-4ab6-acd4-d6c23cfbf1b0?index=3" TargetMode="External"/><Relationship Id="rId118" Type="http://schemas.openxmlformats.org/officeDocument/2006/relationships/hyperlink" Target="https://alpha.midjourney.com/jobs/ab137782-70f1-4ba3-840a-49cf4fda7bbe?index=3" TargetMode="External"/><Relationship Id="rId117" Type="http://schemas.openxmlformats.org/officeDocument/2006/relationships/hyperlink" Target="https://alpha.midjourney.com/jobs/172ae98b-46c0-4825-b85b-219a47dfecc0?index=2" TargetMode="External"/><Relationship Id="rId116" Type="http://schemas.openxmlformats.org/officeDocument/2006/relationships/hyperlink" Target="https://alpha.midjourney.com/jobs/4cc82fb7-ff66-4625-86b9-bd6b6019e512?index=2" TargetMode="External"/><Relationship Id="rId115" Type="http://schemas.openxmlformats.org/officeDocument/2006/relationships/hyperlink" Target="https://alpha.midjourney.com/jobs/750ed738-29ba-42b6-8f6f-d878ddac70d4?index=1" TargetMode="External"/><Relationship Id="rId119" Type="http://schemas.openxmlformats.org/officeDocument/2006/relationships/hyperlink" Target="https://alpha.midjourney.com/jobs/2780038d-6258-4c7a-a5e0-700cdfe423f9?index=0" TargetMode="External"/><Relationship Id="rId15" Type="http://schemas.openxmlformats.org/officeDocument/2006/relationships/hyperlink" Target="https://alpha.midjourney.com/jobs/7e6524d5-fc47-4a64-ac87-5ec5a5ddad4c?index=1" TargetMode="External"/><Relationship Id="rId110" Type="http://schemas.openxmlformats.org/officeDocument/2006/relationships/hyperlink" Target="https://alpha.midjourney.com/jobs/f8926069-73ab-4045-b918-9cb77758a03b?index=3" TargetMode="External"/><Relationship Id="rId14" Type="http://schemas.openxmlformats.org/officeDocument/2006/relationships/hyperlink" Target="https://alpha.midjourney.com/jobs/9b1cd3ba-f0fb-43df-a5df-aa0555f184e0?index=0" TargetMode="External"/><Relationship Id="rId17" Type="http://schemas.openxmlformats.org/officeDocument/2006/relationships/hyperlink" Target="https://alpha.midjourney.com/jobs/bd138556-f391-44ec-ab68-5aa4b5a9f606?index=1" TargetMode="External"/><Relationship Id="rId16" Type="http://schemas.openxmlformats.org/officeDocument/2006/relationships/hyperlink" Target="https://alpha.midjourney.com/jobs/7e6524d5-fc47-4a64-ac87-5ec5a5ddad4c?index=3" TargetMode="External"/><Relationship Id="rId19" Type="http://schemas.openxmlformats.org/officeDocument/2006/relationships/hyperlink" Target="https://alpha.midjourney.com/jobs/7b73514c-612c-4f7a-b7b0-8d03ff687646?index=1" TargetMode="External"/><Relationship Id="rId114" Type="http://schemas.openxmlformats.org/officeDocument/2006/relationships/hyperlink" Target="https://alpha.midjourney.com/jobs/5e110d2e-a7e4-436b-bb11-4fb86e1580e9?index=2" TargetMode="External"/><Relationship Id="rId18" Type="http://schemas.openxmlformats.org/officeDocument/2006/relationships/hyperlink" Target="https://alpha.midjourney.com/jobs/3321903a-a303-44ee-8b5d-3487bd693fa9?index=3" TargetMode="External"/><Relationship Id="rId113" Type="http://schemas.openxmlformats.org/officeDocument/2006/relationships/hyperlink" Target="https://alpha.midjourney.com/jobs/5e110d2e-a7e4-436b-bb11-4fb86e1580e9?index=3" TargetMode="External"/><Relationship Id="rId112" Type="http://schemas.openxmlformats.org/officeDocument/2006/relationships/hyperlink" Target="https://alpha.midjourney.com/jobs/0e687280-8a8e-4bab-ba7e-71eecfd6f625?index=2" TargetMode="External"/><Relationship Id="rId111" Type="http://schemas.openxmlformats.org/officeDocument/2006/relationships/hyperlink" Target="https://alpha.midjourney.com/jobs/a02f660a-1dce-436f-acb5-465e63f5bbc5?index=1" TargetMode="External"/><Relationship Id="rId84" Type="http://schemas.openxmlformats.org/officeDocument/2006/relationships/hyperlink" Target="https://alpha.midjourney.com/jobs/d8a56be5-0fe5-434b-a77a-b6146873ea1a?index=0" TargetMode="External"/><Relationship Id="rId83" Type="http://schemas.openxmlformats.org/officeDocument/2006/relationships/hyperlink" Target="https://alpha.midjourney.com/jobs/d8a56be5-0fe5-434b-a77a-b6146873ea1a?index=3" TargetMode="External"/><Relationship Id="rId86" Type="http://schemas.openxmlformats.org/officeDocument/2006/relationships/hyperlink" Target="https://alpha.midjourney.com/jobs/ef31c8de-f61e-4972-86e9-aa9f1831afd5?index=0" TargetMode="External"/><Relationship Id="rId85" Type="http://schemas.openxmlformats.org/officeDocument/2006/relationships/hyperlink" Target="https://alpha.midjourney.com/jobs/855d9ad2-60fa-4317-90d5-dde695aa3863?index=2" TargetMode="External"/><Relationship Id="rId88" Type="http://schemas.openxmlformats.org/officeDocument/2006/relationships/hyperlink" Target="https://alpha.midjourney.com/jobs/f0a7e593-e8a3-49a4-9357-69927b40e0a8?index=1" TargetMode="External"/><Relationship Id="rId87" Type="http://schemas.openxmlformats.org/officeDocument/2006/relationships/hyperlink" Target="https://alpha.midjourney.com/jobs/8785718a-3cef-4d6b-adf4-3f611a3b965e?index=2" TargetMode="External"/><Relationship Id="rId89" Type="http://schemas.openxmlformats.org/officeDocument/2006/relationships/hyperlink" Target="https://alpha.midjourney.com/jobs/f0a7e593-e8a3-49a4-9357-69927b40e0a8?index=0" TargetMode="External"/><Relationship Id="rId80" Type="http://schemas.openxmlformats.org/officeDocument/2006/relationships/hyperlink" Target="https://alpha.midjourney.com/jobs/c014fa78-9b56-4e92-9380-05f3c1bc63f2?index=3" TargetMode="External"/><Relationship Id="rId82" Type="http://schemas.openxmlformats.org/officeDocument/2006/relationships/hyperlink" Target="https://alpha.midjourney.com/jobs/ea69db27-0094-46a2-957d-df9c6587cd8f?index=1" TargetMode="External"/><Relationship Id="rId81" Type="http://schemas.openxmlformats.org/officeDocument/2006/relationships/hyperlink" Target="https://alpha.midjourney.com/jobs/c014fa78-9b56-4e92-9380-05f3c1bc63f2?index=0" TargetMode="External"/><Relationship Id="rId1" Type="http://schemas.openxmlformats.org/officeDocument/2006/relationships/hyperlink" Target="https://alpha.midjourney.com/jobs/7c7b4c53-2f2b-49df-a6bf-37f29b9e5746?index=3" TargetMode="External"/><Relationship Id="rId2" Type="http://schemas.openxmlformats.org/officeDocument/2006/relationships/hyperlink" Target="https://alpha.midjourney.com/jobs/db52578b-cf61-4cc6-b730-21e3bd1752ce?index=3" TargetMode="External"/><Relationship Id="rId3" Type="http://schemas.openxmlformats.org/officeDocument/2006/relationships/hyperlink" Target="https://alpha.midjourney.com/jobs/1ae58892-c0c7-4cd2-b4f2-61e436a76acb?index=0" TargetMode="External"/><Relationship Id="rId4" Type="http://schemas.openxmlformats.org/officeDocument/2006/relationships/hyperlink" Target="https://alpha.midjourney.com/jobs/2892cac4-ecfc-4b4f-a4e9-1eb61a4971a8?index=3" TargetMode="External"/><Relationship Id="rId9" Type="http://schemas.openxmlformats.org/officeDocument/2006/relationships/hyperlink" Target="https://alpha.midjourney.com/jobs/16fb7678-58aa-43f4-976c-6411d373341c?index=1" TargetMode="External"/><Relationship Id="rId142" Type="http://schemas.openxmlformats.org/officeDocument/2006/relationships/drawing" Target="../drawings/drawing1.xml"/><Relationship Id="rId141" Type="http://schemas.openxmlformats.org/officeDocument/2006/relationships/hyperlink" Target="https://alpha.midjourney.com/jobs/23732ab2-74d0-4739-baaf-5e6c23e8873a?index=0" TargetMode="External"/><Relationship Id="rId140" Type="http://schemas.openxmlformats.org/officeDocument/2006/relationships/hyperlink" Target="https://alpha.midjourney.com/jobs/f04b4fbf-83ad-4f50-9c3a-68843e69ef11?index=2" TargetMode="External"/><Relationship Id="rId5" Type="http://schemas.openxmlformats.org/officeDocument/2006/relationships/hyperlink" Target="https://alpha.midjourney.com/jobs/b1e88fda-7d3b-4302-b0b0-4eee0012e193?index=1" TargetMode="External"/><Relationship Id="rId6" Type="http://schemas.openxmlformats.org/officeDocument/2006/relationships/hyperlink" Target="https://alpha.midjourney.com/jobs/8c6c5803-34bd-4238-bf4b-5436f269949d?index=3" TargetMode="External"/><Relationship Id="rId7" Type="http://schemas.openxmlformats.org/officeDocument/2006/relationships/hyperlink" Target="https://alpha.midjourney.com/jobs/1352ae1c-e93b-4eeb-9c2b-8d45efc47f38?index=0" TargetMode="External"/><Relationship Id="rId8" Type="http://schemas.openxmlformats.org/officeDocument/2006/relationships/hyperlink" Target="https://alpha.midjourney.com/jobs/e58d0ede-21d0-4b9c-87b3-4745b329f97d?index=0" TargetMode="External"/><Relationship Id="rId73" Type="http://schemas.openxmlformats.org/officeDocument/2006/relationships/hyperlink" Target="https://alpha.midjourney.com/jobs/855584b6-ff81-449c-bfc8-776b89e2e1b6?index=3" TargetMode="External"/><Relationship Id="rId72" Type="http://schemas.openxmlformats.org/officeDocument/2006/relationships/hyperlink" Target="https://alpha.midjourney.com/jobs/855584b6-ff81-449c-bfc8-776b89e2e1b6?index=2" TargetMode="External"/><Relationship Id="rId75" Type="http://schemas.openxmlformats.org/officeDocument/2006/relationships/hyperlink" Target="https://alpha.midjourney.com/jobs/855584b6-ff81-449c-bfc8-776b89e2e1b6?index=0" TargetMode="External"/><Relationship Id="rId74" Type="http://schemas.openxmlformats.org/officeDocument/2006/relationships/hyperlink" Target="https://alpha.midjourney.com/jobs/8267de13-464b-4475-8b89-635cac0d70bd?index=0" TargetMode="External"/><Relationship Id="rId77" Type="http://schemas.openxmlformats.org/officeDocument/2006/relationships/hyperlink" Target="https://alpha.midjourney.com/jobs/a18746cf-975e-483a-9c0c-94c134cf6af2?index=3" TargetMode="External"/><Relationship Id="rId76" Type="http://schemas.openxmlformats.org/officeDocument/2006/relationships/hyperlink" Target="https://alpha.midjourney.com/jobs/ce13cd47-a205-4d28-96b0-bdf906fae89f?index=0" TargetMode="External"/><Relationship Id="rId79" Type="http://schemas.openxmlformats.org/officeDocument/2006/relationships/hyperlink" Target="https://alpha.midjourney.com/jobs/23c28003-cb9d-4252-b47e-eb31b79c4746?index=3" TargetMode="External"/><Relationship Id="rId78" Type="http://schemas.openxmlformats.org/officeDocument/2006/relationships/hyperlink" Target="https://alpha.midjourney.com/jobs/a18746cf-975e-483a-9c0c-94c134cf6af2?index=1" TargetMode="External"/><Relationship Id="rId71" Type="http://schemas.openxmlformats.org/officeDocument/2006/relationships/hyperlink" Target="https://alpha.midjourney.com/jobs/7515835a-18c0-492f-95bd-2b1b2539a4df?index=1" TargetMode="External"/><Relationship Id="rId70" Type="http://schemas.openxmlformats.org/officeDocument/2006/relationships/hyperlink" Target="https://alpha.midjourney.com/jobs/34302934-0ce2-4d12-9b6b-bcbfb2dd2748?index=0" TargetMode="External"/><Relationship Id="rId139" Type="http://schemas.openxmlformats.org/officeDocument/2006/relationships/hyperlink" Target="https://alpha.midjourney.com/jobs/8c585bc8-5180-439e-8adb-c3a47c0150fe?index=2" TargetMode="External"/><Relationship Id="rId138" Type="http://schemas.openxmlformats.org/officeDocument/2006/relationships/hyperlink" Target="https://alpha.midjourney.com/jobs/a3874385-0194-4c0f-ba14-08b4d7628a67?index=1" TargetMode="External"/><Relationship Id="rId137" Type="http://schemas.openxmlformats.org/officeDocument/2006/relationships/hyperlink" Target="https://alpha.midjourney.com/jobs/eaad0536-abea-4999-883c-e3e793929cf4?index=3" TargetMode="External"/><Relationship Id="rId132" Type="http://schemas.openxmlformats.org/officeDocument/2006/relationships/hyperlink" Target="https://alpha.midjourney.com/jobs/47e93cbb-0e71-491a-a49b-5685172b96b1?index=2" TargetMode="External"/><Relationship Id="rId131" Type="http://schemas.openxmlformats.org/officeDocument/2006/relationships/hyperlink" Target="https://alpha.midjourney.com/jobs/8ccfe4e3-0dd5-4f9c-be98-1629ec29694f?index=2" TargetMode="External"/><Relationship Id="rId130" Type="http://schemas.openxmlformats.org/officeDocument/2006/relationships/hyperlink" Target="https://alpha.midjourney.com/jobs/8ccfe4e3-0dd5-4f9c-be98-1629ec29694f?index=0" TargetMode="External"/><Relationship Id="rId136" Type="http://schemas.openxmlformats.org/officeDocument/2006/relationships/hyperlink" Target="https://alpha.midjourney.com/jobs/e30e77bd-955e-4e8e-afe4-eae7161982c4?index=3" TargetMode="External"/><Relationship Id="rId135" Type="http://schemas.openxmlformats.org/officeDocument/2006/relationships/hyperlink" Target="https://alpha.midjourney.com/jobs/0a1168a7-16a3-4022-b822-fd13a508a624?index=0" TargetMode="External"/><Relationship Id="rId134" Type="http://schemas.openxmlformats.org/officeDocument/2006/relationships/hyperlink" Target="https://alpha.midjourney.com/jobs/e27864a6-cc07-4984-b181-922b584c0d96?index=3" TargetMode="External"/><Relationship Id="rId133" Type="http://schemas.openxmlformats.org/officeDocument/2006/relationships/hyperlink" Target="https://alpha.midjourney.com/jobs/c0bbf41e-da40-447a-8817-ba761c755907?index=1" TargetMode="External"/><Relationship Id="rId62" Type="http://schemas.openxmlformats.org/officeDocument/2006/relationships/hyperlink" Target="https://alpha.midjourney.com/jobs/804192d1-d6b1-471f-8286-b2c1ae535674?index=3" TargetMode="External"/><Relationship Id="rId61" Type="http://schemas.openxmlformats.org/officeDocument/2006/relationships/hyperlink" Target="https://alpha.midjourney.com/jobs/ff5ef09d-ca5a-4078-8295-e865d3f5ef86?index=3" TargetMode="External"/><Relationship Id="rId64" Type="http://schemas.openxmlformats.org/officeDocument/2006/relationships/hyperlink" Target="https://alpha.midjourney.com/jobs/12474128-0863-4da2-aff8-997b73fe9878?index=3" TargetMode="External"/><Relationship Id="rId63" Type="http://schemas.openxmlformats.org/officeDocument/2006/relationships/hyperlink" Target="https://alpha.midjourney.com/jobs/c2526578-9eb7-4bfc-b6cd-0f981333543c?index=1" TargetMode="External"/><Relationship Id="rId66" Type="http://schemas.openxmlformats.org/officeDocument/2006/relationships/hyperlink" Target="https://alpha.midjourney.com/jobs/957a1f61-1c1b-4a33-82ab-c17bcc78d8f9?index=1" TargetMode="External"/><Relationship Id="rId65" Type="http://schemas.openxmlformats.org/officeDocument/2006/relationships/hyperlink" Target="https://alpha.midjourney.com/jobs/e799950f-85b6-4223-b8ea-bc9ef93d3c23?index=1" TargetMode="External"/><Relationship Id="rId68" Type="http://schemas.openxmlformats.org/officeDocument/2006/relationships/hyperlink" Target="https://alpha.midjourney.com/jobs/a05bda9e-586e-49de-8c32-0f6e47fd8831?index=2" TargetMode="External"/><Relationship Id="rId67" Type="http://schemas.openxmlformats.org/officeDocument/2006/relationships/hyperlink" Target="https://alpha.midjourney.com/jobs/957a1f61-1c1b-4a33-82ab-c17bcc78d8f9?index=0" TargetMode="External"/><Relationship Id="rId60" Type="http://schemas.openxmlformats.org/officeDocument/2006/relationships/hyperlink" Target="https://alpha.midjourney.com/jobs/68687551-a06f-4550-bc88-6c49a58ac029?index=2" TargetMode="External"/><Relationship Id="rId69" Type="http://schemas.openxmlformats.org/officeDocument/2006/relationships/hyperlink" Target="https://alpha.midjourney.com/jobs/011a319f-3ec2-43a4-ae07-e31e88bbcfcf?index=2" TargetMode="External"/><Relationship Id="rId51" Type="http://schemas.openxmlformats.org/officeDocument/2006/relationships/hyperlink" Target="https://alpha.midjourney.com/jobs/d19499fa-993e-4909-94ee-2b9c8761e795?index=1" TargetMode="External"/><Relationship Id="rId50" Type="http://schemas.openxmlformats.org/officeDocument/2006/relationships/hyperlink" Target="https://alpha.midjourney.com/jobs/0852a4f6-c4cd-4d01-a719-8673b0ba2f74?index=1" TargetMode="External"/><Relationship Id="rId53" Type="http://schemas.openxmlformats.org/officeDocument/2006/relationships/hyperlink" Target="https://alpha.midjourney.com/jobs/cd0a04f4-a1cb-40f4-910e-eb46d3902255?index=0" TargetMode="External"/><Relationship Id="rId52" Type="http://schemas.openxmlformats.org/officeDocument/2006/relationships/hyperlink" Target="https://alpha.midjourney.com/jobs/93adb4ae-5796-400d-8a5b-0445ab93be6c?index=3" TargetMode="External"/><Relationship Id="rId55" Type="http://schemas.openxmlformats.org/officeDocument/2006/relationships/hyperlink" Target="https://alpha.midjourney.com/jobs/219392dd-7217-4d08-88a4-07fe545e4e60?index=0" TargetMode="External"/><Relationship Id="rId54" Type="http://schemas.openxmlformats.org/officeDocument/2006/relationships/hyperlink" Target="https://alpha.midjourney.com/jobs/02764ac5-6b69-4645-b186-6ada5c5faed8?index=3" TargetMode="External"/><Relationship Id="rId57" Type="http://schemas.openxmlformats.org/officeDocument/2006/relationships/hyperlink" Target="https://alpha.midjourney.com/jobs/ff5ef09d-ca5a-4078-8295-e865d3f5ef86?index=1" TargetMode="External"/><Relationship Id="rId56" Type="http://schemas.openxmlformats.org/officeDocument/2006/relationships/hyperlink" Target="https://alpha.midjourney.com/jobs/faebf78e-524b-4699-86cf-5a06ec2912c9?index=0" TargetMode="External"/><Relationship Id="rId59" Type="http://schemas.openxmlformats.org/officeDocument/2006/relationships/hyperlink" Target="https://alpha.midjourney.com/jobs/903c649b-d0e0-4b79-8d43-b2091e120243?index=0" TargetMode="External"/><Relationship Id="rId58" Type="http://schemas.openxmlformats.org/officeDocument/2006/relationships/hyperlink" Target="https://alpha.midjourney.com/jobs/903c649b-d0e0-4b79-8d43-b2091e120243?index=3"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28.14"/>
    <col customWidth="1" min="2" max="2" width="26.14"/>
    <col customWidth="1" min="3" max="3" width="7.71"/>
    <col customWidth="1" min="4" max="4" width="28.14"/>
    <col customWidth="1" min="5" max="5" width="113.43"/>
    <col customWidth="1" min="6" max="6" width="28.71"/>
    <col customWidth="1" min="7" max="8" width="11.0"/>
  </cols>
  <sheetData>
    <row r="1">
      <c r="A1" s="1" t="s">
        <v>0</v>
      </c>
      <c r="B1" s="2" t="s">
        <v>1</v>
      </c>
      <c r="C1" s="3" t="s">
        <v>2</v>
      </c>
      <c r="D1" s="4" t="s">
        <v>3</v>
      </c>
      <c r="E1" s="2" t="s">
        <v>4</v>
      </c>
      <c r="F1" s="5" t="s">
        <v>5</v>
      </c>
      <c r="G1" s="6" t="s">
        <v>6</v>
      </c>
      <c r="H1" s="4" t="s">
        <v>7</v>
      </c>
      <c r="I1" s="4" t="s">
        <v>8</v>
      </c>
      <c r="J1" s="4" t="s">
        <v>9</v>
      </c>
      <c r="K1" s="7" t="s">
        <v>10</v>
      </c>
      <c r="L1" s="8" t="s">
        <v>11</v>
      </c>
      <c r="M1" s="8" t="s">
        <v>12</v>
      </c>
      <c r="N1" s="8" t="s">
        <v>13</v>
      </c>
      <c r="O1" s="8" t="s">
        <v>14</v>
      </c>
      <c r="P1" s="8" t="s">
        <v>15</v>
      </c>
      <c r="Q1" s="8" t="s">
        <v>16</v>
      </c>
      <c r="R1" s="9" t="s">
        <v>17</v>
      </c>
      <c r="S1" s="1" t="s">
        <v>18</v>
      </c>
      <c r="T1" s="1" t="s">
        <v>19</v>
      </c>
      <c r="U1" s="1" t="s">
        <v>20</v>
      </c>
      <c r="V1" s="1" t="s">
        <v>21</v>
      </c>
      <c r="W1" s="1" t="s">
        <v>22</v>
      </c>
      <c r="X1" s="1" t="s">
        <v>23</v>
      </c>
      <c r="Y1" s="1" t="s">
        <v>24</v>
      </c>
      <c r="Z1" s="1" t="s">
        <v>25</v>
      </c>
      <c r="AA1" s="1" t="s">
        <v>26</v>
      </c>
      <c r="AB1" s="1" t="s">
        <v>27</v>
      </c>
    </row>
    <row r="2">
      <c r="A2" s="10" t="s">
        <v>28</v>
      </c>
      <c r="B2" s="10" t="s">
        <v>15</v>
      </c>
      <c r="C2" s="11">
        <v>1.0</v>
      </c>
      <c r="D2" s="11" t="s">
        <v>29</v>
      </c>
      <c r="E2" s="10" t="s">
        <v>30</v>
      </c>
      <c r="F2" s="10" t="str">
        <f>IFERROR(__xludf.DUMMYFUNCTION("IF(REGEXMATCH($E2,""Wizard""),""Wizard "","""")&amp;IF(REGEXMATCH($E2,""Construct""),""Construct "","""")&amp;IF(REGEXMATCH($E2,""Insect""),""Insect "","""")&amp;IF(REGEXMATCH($E2,""Dragon""),""Dragon "","""")&amp;IF(REGEXMATCH($E2,""Human""),""Human "","""")&amp;IF(REGEXMAT"&amp;"CH($E2,""Hunter""),""Hunter "","""")&amp;IF(REGEXMATCH($E2,""Animal""),""Animal "","""")&amp;IF(REGEXMATCH($E2,""Undead""),""Undead "","""")&amp;IF(REGEXMATCH($E2,""Plant""),""Plant "","""")&amp;IF(REGEXMATCH($E2,""Dinosaur""),""Dinosaur "","""")&amp;IF(REGEXMATCH($E2,""Warr"&amp;"ior""),""Warrior "","""")&amp;IF(REGEXMATCH($E2,""Spirit""),""Spirit "","""")&amp;IF(REGEXMATCH($E2,""Angel""),""Angel "","""")&amp;IF(REGEXMATCH($E2,""Demon""),""Demon "","""")&amp;IF(REGEXMATCH($E2,""Divine""),""Divine "","""")&amp;IF(REGEXMATCH($E2,""Elemental""),""Elemen"&amp;"tal "","""")&amp;IF(REGEXMATCH($E2,""Nature""),""Nature "","""")&amp;IF(REGEXMATCH($E2,""Mortal""),""Mortal "","""")&amp;IF(REGEXMATCH($E2,""Void""),""Void "","""")&amp;IF(REGEXMATCH($E2,""Unearth|Ambush|Ritual|unearth|ambush|ritual""),""Unearth "","""")&amp;IF(REGEXMATCH($E"&amp;"2,""Unleash|Crystallize|all realms|Crystalborn|crystallize""),""Ramp "","""")&amp;IF(REGEXMATCH($E2,""Demon""),""Demon "","""")&amp;IF(REGEXMATCH($E2,""bury|buries|Bury|Buries|Cleanse|puts a Unit|trail|Trail""),""Control "","""")&amp;IF(REGEXMATCH($E2,""Bounce|Return"&amp;"|Copy|bounce|return|copy""),""Copy "","""")&amp;IF(REGEXMATCH($E2,""conquer|Conquer|leading in lanes|lead by""),""Aggro "","""")&amp;IF(REGEXMATCH($E2,""Ascend|ascend""),""Ascend "","""")&amp;IF(REGEXMATCH($E2,""Bury .+ Crystal|.*crystal.*bury""),""Empty-Crystal"","""&amp;""")&amp;IF(REGEXMATCH($E2,""Move|move""),""Move"","""")"),"Control ")</f>
        <v>Control </v>
      </c>
      <c r="G2" s="12" t="s">
        <v>31</v>
      </c>
      <c r="H2" s="11">
        <v>4.0</v>
      </c>
      <c r="I2" s="11" t="s">
        <v>32</v>
      </c>
      <c r="J2" s="11" t="s">
        <v>33</v>
      </c>
      <c r="L2" s="13" t="str">
        <f>IFERROR(__xludf.DUMMYFUNCTION("IF(REGEXMATCH($B2,L$1),$D2,"""")"),"")</f>
        <v/>
      </c>
      <c r="M2" s="13" t="str">
        <f>IFERROR(__xludf.DUMMYFUNCTION("IF(REGEXMATCH($B2,M$1),$D2,"""")"),"")</f>
        <v/>
      </c>
      <c r="N2" s="13" t="str">
        <f>IFERROR(__xludf.DUMMYFUNCTION("IF(REGEXMATCH($B2,N$1),$D2,"""")"),"")</f>
        <v/>
      </c>
      <c r="O2" s="13" t="str">
        <f>IFERROR(__xludf.DUMMYFUNCTION("IF(REGEXMATCH($B2,O$1),$D2,"""")"),"")</f>
        <v/>
      </c>
      <c r="P2" s="13" t="str">
        <f>IFERROR(__xludf.DUMMYFUNCTION("IF(REGEXMATCH($B2,P$1),$D2,"""")"),"Angel")</f>
        <v>Angel</v>
      </c>
      <c r="Q2" s="13">
        <f>IFERROR(__xludf.DUMMYFUNCTION("IF($A2="""","""",LEN(REGEXREPLACE($I2,"",\s?"","""")))"),5.0)</f>
        <v>5</v>
      </c>
      <c r="R2" s="14" t="s">
        <v>34</v>
      </c>
      <c r="S2" s="15" t="s">
        <v>35</v>
      </c>
      <c r="T2" s="15" t="s">
        <v>36</v>
      </c>
      <c r="U2" s="13"/>
      <c r="V2" s="13"/>
      <c r="W2" s="13"/>
      <c r="X2" s="13"/>
      <c r="Y2" s="13"/>
      <c r="Z2" s="13"/>
      <c r="AA2" s="13"/>
      <c r="AB2" s="13"/>
    </row>
    <row r="3" hidden="1">
      <c r="A3" s="10" t="s">
        <v>37</v>
      </c>
      <c r="B3" s="16" t="s">
        <v>15</v>
      </c>
      <c r="C3" s="11">
        <v>2.0</v>
      </c>
      <c r="D3" s="11" t="s">
        <v>38</v>
      </c>
      <c r="E3" s="10" t="s">
        <v>39</v>
      </c>
      <c r="F3" s="10" t="str">
        <f>IFERROR(__xludf.DUMMYFUNCTION("IF(REGEXMATCH($E3,""Wizard""),""Wizard "","""")&amp;IF(REGEXMATCH($E3,""Construct""),""Construct "","""")&amp;IF(REGEXMATCH($E3,""Insect""),""Insect "","""")&amp;IF(REGEXMATCH($E3,""Dragon""),""Dragon "","""")&amp;IF(REGEXMATCH($E3,""Human""),""Human "","""")&amp;IF(REGEXMAT"&amp;"CH($E3,""Hunter""),""Hunter "","""")&amp;IF(REGEXMATCH($E3,""Animal""),""Animal "","""")&amp;IF(REGEXMATCH($E3,""Undead""),""Undead "","""")&amp;IF(REGEXMATCH($E3,""Plant""),""Plant "","""")&amp;IF(REGEXMATCH($E3,""Dinosaur""),""Dinosaur "","""")&amp;IF(REGEXMATCH($E3,""Warr"&amp;"ior""),""Warrior "","""")&amp;IF(REGEXMATCH($E3,""Spirit""),""Spirit "","""")&amp;IF(REGEXMATCH($E3,""Angel""),""Angel "","""")&amp;IF(REGEXMATCH($E3,""Demon""),""Demon "","""")&amp;IF(REGEXMATCH($E3,""Divine""),""Divine "","""")&amp;IF(REGEXMATCH($E3,""Elemental""),""Elemen"&amp;"tal "","""")&amp;IF(REGEXMATCH($E3,""Nature""),""Nature "","""")&amp;IF(REGEXMATCH($E3,""Mortal""),""Mortal "","""")&amp;IF(REGEXMATCH($E3,""Void""),""Void "","""")&amp;IF(REGEXMATCH($E3,""Unearth|Ambush|Ritual|unearth|ambush|ritual""),""Unearth "","""")&amp;IF(REGEXMATCH($E"&amp;"3,""Unleash|Crystallize|all realms|Crystalborn|crystallize""),""Ramp "","""")&amp;IF(REGEXMATCH($E3,""Demon""),""Demon "","""")&amp;IF(REGEXMATCH($E3,""bury|buries|Bury|Buries|Cleanse|puts a Unit|trail|Trail""),""Control "","""")&amp;IF(REGEXMATCH($E3,""Bounce|Return"&amp;"|Copy|bounce|return|copy""),""Copy "","""")&amp;IF(REGEXMATCH($E3,""conquer|Conquer|leading in lanes|lead by""),""Aggro "","""")&amp;IF(REGEXMATCH($E3,""Ascend|ascend""),""Ascend "","""")&amp;IF(REGEXMATCH($E3,""Bury .+ Crystal|.*crystal.*bury""),""Empty-Crystal"","""&amp;""")&amp;IF(REGEXMATCH($E3,""Move|move""),""Move"","""")"),"Construct Ascend ")</f>
        <v>Construct Ascend </v>
      </c>
      <c r="G3" s="12" t="s">
        <v>40</v>
      </c>
      <c r="H3" s="11">
        <v>1.0</v>
      </c>
      <c r="I3" s="11" t="s">
        <v>41</v>
      </c>
      <c r="J3" s="11" t="s">
        <v>42</v>
      </c>
      <c r="L3" s="13" t="str">
        <f>IFERROR(__xludf.DUMMYFUNCTION("IF(REGEXMATCH($B3,L$1),$D3,"""")"),"")</f>
        <v/>
      </c>
      <c r="M3" s="13" t="str">
        <f>IFERROR(__xludf.DUMMYFUNCTION("IF(REGEXMATCH($B3,M$1),$D3,"""")"),"")</f>
        <v/>
      </c>
      <c r="N3" s="13" t="str">
        <f>IFERROR(__xludf.DUMMYFUNCTION("IF(REGEXMATCH($B3,N$1),$D3,"""")"),"")</f>
        <v/>
      </c>
      <c r="O3" s="13" t="str">
        <f>IFERROR(__xludf.DUMMYFUNCTION("IF(REGEXMATCH($B3,O$1),$D3,"""")"),"")</f>
        <v/>
      </c>
      <c r="P3" s="13" t="str">
        <f>IFERROR(__xludf.DUMMYFUNCTION("IF(REGEXMATCH($B3,P$1),$D3,"""")"),"Construct Wizard")</f>
        <v>Construct Wizard</v>
      </c>
      <c r="Q3" s="13">
        <f>IFERROR(__xludf.DUMMYFUNCTION("IF($A3="""","""",LEN(REGEXREPLACE($I3,"",\s?"","""")))"),1.0)</f>
        <v>1</v>
      </c>
      <c r="S3" s="13"/>
      <c r="T3" s="13"/>
      <c r="U3" s="13"/>
      <c r="V3" s="13"/>
      <c r="W3" s="13"/>
      <c r="X3" s="13"/>
      <c r="Y3" s="13"/>
      <c r="Z3" s="13"/>
      <c r="AA3" s="13"/>
      <c r="AB3" s="13"/>
    </row>
    <row r="4" hidden="1">
      <c r="A4" s="10" t="s">
        <v>43</v>
      </c>
      <c r="B4" s="17" t="s">
        <v>15</v>
      </c>
      <c r="C4" s="18">
        <v>2.0</v>
      </c>
      <c r="D4" s="18" t="s">
        <v>44</v>
      </c>
      <c r="E4" s="19" t="s">
        <v>45</v>
      </c>
      <c r="F4" s="10" t="str">
        <f>IFERROR(__xludf.DUMMYFUNCTION("IF(REGEXMATCH($E4,""Wizard""),""Wizard "","""")&amp;IF(REGEXMATCH($E4,""Construct""),""Construct "","""")&amp;IF(REGEXMATCH($E4,""Insect""),""Insect "","""")&amp;IF(REGEXMATCH($E4,""Dragon""),""Dragon "","""")&amp;IF(REGEXMATCH($E4,""Human""),""Human "","""")&amp;IF(REGEXMAT"&amp;"CH($E4,""Hunter""),""Hunter "","""")&amp;IF(REGEXMATCH($E4,""Animal""),""Animal "","""")&amp;IF(REGEXMATCH($E4,""Undead""),""Undead "","""")&amp;IF(REGEXMATCH($E4,""Plant""),""Plant "","""")&amp;IF(REGEXMATCH($E4,""Dinosaur""),""Dinosaur "","""")&amp;IF(REGEXMATCH($E4,""Warr"&amp;"ior""),""Warrior "","""")&amp;IF(REGEXMATCH($E4,""Spirit""),""Spirit "","""")&amp;IF(REGEXMATCH($E4,""Angel""),""Angel "","""")&amp;IF(REGEXMATCH($E4,""Demon""),""Demon "","""")&amp;IF(REGEXMATCH($E4,""Divine""),""Divine "","""")&amp;IF(REGEXMATCH($E4,""Elemental""),""Elemen"&amp;"tal "","""")&amp;IF(REGEXMATCH($E4,""Nature""),""Nature "","""")&amp;IF(REGEXMATCH($E4,""Mortal""),""Mortal "","""")&amp;IF(REGEXMATCH($E4,""Void""),""Void "","""")&amp;IF(REGEXMATCH($E4,""Unearth|Ambush|Ritual|unearth|ambush|ritual""),""Unearth "","""")&amp;IF(REGEXMATCH($E"&amp;"4,""Unleash|Crystallize|all realms|Crystalborn|crystallize""),""Ramp "","""")&amp;IF(REGEXMATCH($E4,""Demon""),""Demon "","""")&amp;IF(REGEXMATCH($E4,""bury|buries|Bury|Buries|Cleanse|puts a Unit|trail|Trail""),""Control "","""")&amp;IF(REGEXMATCH($E4,""Bounce|Return"&amp;"|Copy|bounce|return|copy""),""Copy "","""")&amp;IF(REGEXMATCH($E4,""conquer|Conquer|leading in lanes|lead by""),""Aggro "","""")&amp;IF(REGEXMATCH($E4,""Ascend|ascend""),""Ascend "","""")&amp;IF(REGEXMATCH($E4,""Bury .+ Crystal|.*crystal.*bury""),""Empty-Crystal"","""&amp;""")&amp;IF(REGEXMATCH($E4,""Move|move""),""Move"","""")"),"Divine Ascend ")</f>
        <v>Divine Ascend </v>
      </c>
      <c r="G4" s="20" t="s">
        <v>40</v>
      </c>
      <c r="H4" s="18">
        <v>1.0</v>
      </c>
      <c r="I4" s="18" t="s">
        <v>41</v>
      </c>
      <c r="J4" s="18" t="s">
        <v>42</v>
      </c>
      <c r="L4" s="13" t="str">
        <f>IFERROR(__xludf.DUMMYFUNCTION("IF(REGEXMATCH($B4,L$1),$D4,"""")"),"")</f>
        <v/>
      </c>
      <c r="M4" s="13" t="str">
        <f>IFERROR(__xludf.DUMMYFUNCTION("IF(REGEXMATCH($B4,M$1),$D4,"""")"),"")</f>
        <v/>
      </c>
      <c r="N4" s="13" t="str">
        <f>IFERROR(__xludf.DUMMYFUNCTION("IF(REGEXMATCH($B4,N$1),$D4,"""")"),"")</f>
        <v/>
      </c>
      <c r="O4" s="13" t="str">
        <f>IFERROR(__xludf.DUMMYFUNCTION("IF(REGEXMATCH($B4,O$1),$D4,"""")"),"")</f>
        <v/>
      </c>
      <c r="P4" s="13" t="str">
        <f>IFERROR(__xludf.DUMMYFUNCTION("IF(REGEXMATCH($B4,P$1),$D4,"""")"),"Human")</f>
        <v>Human</v>
      </c>
      <c r="Q4" s="13">
        <f>IFERROR(__xludf.DUMMYFUNCTION("IF($A4="""","""",LEN(REGEXREPLACE($I4,"",\s?"","""")))"),1.0)</f>
        <v>1</v>
      </c>
      <c r="S4" s="13"/>
      <c r="T4" s="13"/>
      <c r="U4" s="13"/>
      <c r="V4" s="13"/>
      <c r="W4" s="13"/>
      <c r="X4" s="13"/>
      <c r="Y4" s="13"/>
      <c r="Z4" s="13"/>
      <c r="AA4" s="13"/>
      <c r="AB4" s="13"/>
    </row>
    <row r="5">
      <c r="A5" s="19" t="s">
        <v>46</v>
      </c>
      <c r="B5" s="19" t="s">
        <v>15</v>
      </c>
      <c r="C5" s="18">
        <v>1.0</v>
      </c>
      <c r="D5" s="18" t="s">
        <v>29</v>
      </c>
      <c r="E5" s="19" t="s">
        <v>47</v>
      </c>
      <c r="F5" s="10" t="str">
        <f>IFERROR(__xludf.DUMMYFUNCTION("IF(REGEXMATCH($E5,""Wizard""),""Wizard "","""")&amp;IF(REGEXMATCH($E5,""Construct""),""Construct "","""")&amp;IF(REGEXMATCH($E5,""Insect""),""Insect "","""")&amp;IF(REGEXMATCH($E5,""Dragon""),""Dragon "","""")&amp;IF(REGEXMATCH($E5,""Human""),""Human "","""")&amp;IF(REGEXMAT"&amp;"CH($E5,""Hunter""),""Hunter "","""")&amp;IF(REGEXMATCH($E5,""Animal""),""Animal "","""")&amp;IF(REGEXMATCH($E5,""Undead""),""Undead "","""")&amp;IF(REGEXMATCH($E5,""Plant""),""Plant "","""")&amp;IF(REGEXMATCH($E5,""Dinosaur""),""Dinosaur "","""")&amp;IF(REGEXMATCH($E5,""Warr"&amp;"ior""),""Warrior "","""")&amp;IF(REGEXMATCH($E5,""Spirit""),""Spirit "","""")&amp;IF(REGEXMATCH($E5,""Angel""),""Angel "","""")&amp;IF(REGEXMATCH($E5,""Demon""),""Demon "","""")&amp;IF(REGEXMATCH($E5,""Divine""),""Divine "","""")&amp;IF(REGEXMATCH($E5,""Elemental""),""Elemen"&amp;"tal "","""")&amp;IF(REGEXMATCH($E5,""Nature""),""Nature "","""")&amp;IF(REGEXMATCH($E5,""Mortal""),""Mortal "","""")&amp;IF(REGEXMATCH($E5,""Void""),""Void "","""")&amp;IF(REGEXMATCH($E5,""Unearth|Ambush|Ritual|unearth|ambush|ritual""),""Unearth "","""")&amp;IF(REGEXMATCH($E"&amp;"5,""Unleash|Crystallize|all realms|Crystalborn|crystallize""),""Ramp "","""")&amp;IF(REGEXMATCH($E5,""Demon""),""Demon "","""")&amp;IF(REGEXMATCH($E5,""bury|buries|Bury|Buries|Cleanse|puts a Unit|trail|Trail""),""Control "","""")&amp;IF(REGEXMATCH($E5,""Bounce|Return"&amp;"|Copy|bounce|return|copy""),""Copy "","""")&amp;IF(REGEXMATCH($E5,""conquer|Conquer|leading in lanes|lead by""),""Aggro "","""")&amp;IF(REGEXMATCH($E5,""Ascend|ascend""),""Ascend "","""")&amp;IF(REGEXMATCH($E5,""Bury .+ Crystal|.*crystal.*bury""),""Empty-Crystal"","""&amp;""")&amp;IF(REGEXMATCH($E5,""Move|move""),""Move"","""")"),"Ramp Copy ")</f>
        <v>Ramp Copy </v>
      </c>
      <c r="G5" s="20" t="s">
        <v>48</v>
      </c>
      <c r="H5" s="18">
        <v>2.0</v>
      </c>
      <c r="I5" s="18" t="s">
        <v>49</v>
      </c>
      <c r="J5" s="18" t="s">
        <v>50</v>
      </c>
      <c r="L5" s="13" t="str">
        <f>IFERROR(__xludf.DUMMYFUNCTION("IF(REGEXMATCH($B5,L$1),$D5,"""")"),"")</f>
        <v/>
      </c>
      <c r="M5" s="13" t="str">
        <f>IFERROR(__xludf.DUMMYFUNCTION("IF(REGEXMATCH($B5,M$1),$D5,"""")"),"")</f>
        <v/>
      </c>
      <c r="N5" s="13" t="str">
        <f>IFERROR(__xludf.DUMMYFUNCTION("IF(REGEXMATCH($B5,N$1),$D5,"""")"),"")</f>
        <v/>
      </c>
      <c r="O5" s="13" t="str">
        <f>IFERROR(__xludf.DUMMYFUNCTION("IF(REGEXMATCH($B5,O$1),$D5,"""")"),"")</f>
        <v/>
      </c>
      <c r="P5" s="13" t="str">
        <f>IFERROR(__xludf.DUMMYFUNCTION("IF(REGEXMATCH($B5,P$1),$D5,"""")"),"Angel")</f>
        <v>Angel</v>
      </c>
      <c r="Q5" s="13">
        <f>IFERROR(__xludf.DUMMYFUNCTION("IF($A5="""","""",LEN(REGEXREPLACE($I5,"",\s?"","""")))"),3.0)</f>
        <v>3</v>
      </c>
      <c r="R5" s="14" t="s">
        <v>51</v>
      </c>
      <c r="S5" s="15" t="s">
        <v>52</v>
      </c>
      <c r="T5" s="13"/>
      <c r="U5" s="13"/>
      <c r="V5" s="13"/>
      <c r="W5" s="13"/>
      <c r="X5" s="13"/>
      <c r="Y5" s="13"/>
      <c r="Z5" s="13"/>
      <c r="AA5" s="13"/>
      <c r="AB5" s="13"/>
    </row>
    <row r="6">
      <c r="A6" s="10" t="s">
        <v>53</v>
      </c>
      <c r="B6" s="10" t="s">
        <v>15</v>
      </c>
      <c r="C6" s="11">
        <v>1.0</v>
      </c>
      <c r="D6" s="11" t="s">
        <v>54</v>
      </c>
      <c r="E6" s="10"/>
      <c r="F6" s="10" t="str">
        <f>IFERROR(__xludf.DUMMYFUNCTION("IF(REGEXMATCH($E6,""Wizard""),""Wizard "","""")&amp;IF(REGEXMATCH($E6,""Construct""),""Construct "","""")&amp;IF(REGEXMATCH($E6,""Insect""),""Insect "","""")&amp;IF(REGEXMATCH($E6,""Dragon""),""Dragon "","""")&amp;IF(REGEXMATCH($E6,""Human""),""Human "","""")&amp;IF(REGEXMAT"&amp;"CH($E6,""Hunter""),""Hunter "","""")&amp;IF(REGEXMATCH($E6,""Animal""),""Animal "","""")&amp;IF(REGEXMATCH($E6,""Undead""),""Undead "","""")&amp;IF(REGEXMATCH($E6,""Plant""),""Plant "","""")&amp;IF(REGEXMATCH($E6,""Dinosaur""),""Dinosaur "","""")&amp;IF(REGEXMATCH($E6,""Warr"&amp;"ior""),""Warrior "","""")&amp;IF(REGEXMATCH($E6,""Spirit""),""Spirit "","""")&amp;IF(REGEXMATCH($E6,""Angel""),""Angel "","""")&amp;IF(REGEXMATCH($E6,""Demon""),""Demon "","""")&amp;IF(REGEXMATCH($E6,""Divine""),""Divine "","""")&amp;IF(REGEXMATCH($E6,""Elemental""),""Elemen"&amp;"tal "","""")&amp;IF(REGEXMATCH($E6,""Nature""),""Nature "","""")&amp;IF(REGEXMATCH($E6,""Mortal""),""Mortal "","""")&amp;IF(REGEXMATCH($E6,""Void""),""Void "","""")&amp;IF(REGEXMATCH($E6,""Unearth|Ambush|Ritual|unearth|ambush|ritual""),""Unearth "","""")&amp;IF(REGEXMATCH($E"&amp;"6,""Unleash|Crystallize|all realms|Crystalborn|crystallize""),""Ramp "","""")&amp;IF(REGEXMATCH($E6,""Demon""),""Demon "","""")&amp;IF(REGEXMATCH($E6,""bury|buries|Bury|Buries|Cleanse|puts a Unit|trail|Trail""),""Control "","""")&amp;IF(REGEXMATCH($E6,""Bounce|Return"&amp;"|Copy|bounce|return|copy""),""Copy "","""")&amp;IF(REGEXMATCH($E6,""conquer|Conquer|leading in lanes|lead by""),""Aggro "","""")&amp;IF(REGEXMATCH($E6,""Ascend|ascend""),""Ascend "","""")&amp;IF(REGEXMATCH($E6,""Bury .+ Crystal|.*crystal.*bury""),""Empty-Crystal"","""&amp;""")&amp;IF(REGEXMATCH($E6,""Move|move""),""Move"","""")"),"")</f>
        <v/>
      </c>
      <c r="G6" s="12" t="s">
        <v>55</v>
      </c>
      <c r="H6" s="11">
        <v>4.0</v>
      </c>
      <c r="I6" s="11" t="s">
        <v>56</v>
      </c>
      <c r="J6" s="11" t="s">
        <v>42</v>
      </c>
      <c r="L6" s="13" t="str">
        <f>IFERROR(__xludf.DUMMYFUNCTION("IF(REGEXMATCH($B6,L$1),$D6,"""")"),"")</f>
        <v/>
      </c>
      <c r="M6" s="13" t="str">
        <f>IFERROR(__xludf.DUMMYFUNCTION("IF(REGEXMATCH($B6,M$1),$D6,"""")"),"")</f>
        <v/>
      </c>
      <c r="N6" s="13" t="str">
        <f>IFERROR(__xludf.DUMMYFUNCTION("IF(REGEXMATCH($B6,N$1),$D6,"""")"),"")</f>
        <v/>
      </c>
      <c r="O6" s="13" t="str">
        <f>IFERROR(__xludf.DUMMYFUNCTION("IF(REGEXMATCH($B6,O$1),$D6,"""")"),"")</f>
        <v/>
      </c>
      <c r="P6" s="13" t="str">
        <f>IFERROR(__xludf.DUMMYFUNCTION("IF(REGEXMATCH($B6,P$1),$D6,"""")"),"Angel Animal")</f>
        <v>Angel Animal</v>
      </c>
      <c r="Q6" s="13">
        <f>IFERROR(__xludf.DUMMYFUNCTION("IF($A6="""","""",LEN(REGEXREPLACE($I6,"",\s?"","""")))"),4.0)</f>
        <v>4</v>
      </c>
      <c r="R6" s="14" t="s">
        <v>57</v>
      </c>
      <c r="S6" s="15" t="s">
        <v>58</v>
      </c>
      <c r="T6" s="13"/>
      <c r="U6" s="13"/>
      <c r="V6" s="13"/>
      <c r="W6" s="13"/>
      <c r="X6" s="13"/>
      <c r="Y6" s="13"/>
      <c r="Z6" s="13"/>
      <c r="AA6" s="13"/>
      <c r="AB6" s="13"/>
    </row>
    <row r="7">
      <c r="A7" s="13" t="s">
        <v>59</v>
      </c>
      <c r="B7" s="10" t="s">
        <v>15</v>
      </c>
      <c r="C7" s="11">
        <v>1.0</v>
      </c>
      <c r="D7" s="11" t="s">
        <v>60</v>
      </c>
      <c r="E7" s="19" t="s">
        <v>61</v>
      </c>
      <c r="F7" s="10" t="str">
        <f>IFERROR(__xludf.DUMMYFUNCTION("IF(REGEXMATCH($E7,""Wizard""),""Wizard "","""")&amp;IF(REGEXMATCH($E7,""Construct""),""Construct "","""")&amp;IF(REGEXMATCH($E7,""Insect""),""Insect "","""")&amp;IF(REGEXMATCH($E7,""Dragon""),""Dragon "","""")&amp;IF(REGEXMATCH($E7,""Human""),""Human "","""")&amp;IF(REGEXMAT"&amp;"CH($E7,""Hunter""),""Hunter "","""")&amp;IF(REGEXMATCH($E7,""Animal""),""Animal "","""")&amp;IF(REGEXMATCH($E7,""Undead""),""Undead "","""")&amp;IF(REGEXMATCH($E7,""Plant""),""Plant "","""")&amp;IF(REGEXMATCH($E7,""Dinosaur""),""Dinosaur "","""")&amp;IF(REGEXMATCH($E7,""Warr"&amp;"ior""),""Warrior "","""")&amp;IF(REGEXMATCH($E7,""Spirit""),""Spirit "","""")&amp;IF(REGEXMATCH($E7,""Angel""),""Angel "","""")&amp;IF(REGEXMATCH($E7,""Demon""),""Demon "","""")&amp;IF(REGEXMATCH($E7,""Divine""),""Divine "","""")&amp;IF(REGEXMATCH($E7,""Elemental""),""Elemen"&amp;"tal "","""")&amp;IF(REGEXMATCH($E7,""Nature""),""Nature "","""")&amp;IF(REGEXMATCH($E7,""Mortal""),""Mortal "","""")&amp;IF(REGEXMATCH($E7,""Void""),""Void "","""")&amp;IF(REGEXMATCH($E7,""Unearth|Ambush|Ritual|unearth|ambush|ritual""),""Unearth "","""")&amp;IF(REGEXMATCH($E"&amp;"7,""Unleash|Crystallize|all realms|Crystalborn|crystallize""),""Ramp "","""")&amp;IF(REGEXMATCH($E7,""Demon""),""Demon "","""")&amp;IF(REGEXMATCH($E7,""bury|buries|Bury|Buries|Cleanse|puts a Unit|trail|Trail""),""Control "","""")&amp;IF(REGEXMATCH($E7,""Bounce|Return"&amp;"|Copy|bounce|return|copy""),""Copy "","""")&amp;IF(REGEXMATCH($E7,""conquer|Conquer|leading in lanes|lead by""),""Aggro "","""")&amp;IF(REGEXMATCH($E7,""Ascend|ascend""),""Ascend "","""")&amp;IF(REGEXMATCH($E7,""Bury .+ Crystal|.*crystal.*bury""),""Empty-Crystal"","""&amp;""")&amp;IF(REGEXMATCH($E7,""Move|move""),""Move"","""")"),"Ramp ")</f>
        <v>Ramp </v>
      </c>
      <c r="G7" s="20" t="s">
        <v>62</v>
      </c>
      <c r="H7" s="11">
        <v>2.0</v>
      </c>
      <c r="I7" s="11" t="s">
        <v>63</v>
      </c>
      <c r="J7" s="21" t="s">
        <v>33</v>
      </c>
      <c r="L7" s="13" t="str">
        <f>IFERROR(__xludf.DUMMYFUNCTION("IF(REGEXMATCH($B7,L$1),$D7,"""")"),"")</f>
        <v/>
      </c>
      <c r="M7" s="13" t="str">
        <f>IFERROR(__xludf.DUMMYFUNCTION("IF(REGEXMATCH($B7,M$1),$D7,"""")"),"")</f>
        <v/>
      </c>
      <c r="N7" s="13" t="str">
        <f>IFERROR(__xludf.DUMMYFUNCTION("IF(REGEXMATCH($B7,N$1),$D7,"""")"),"")</f>
        <v/>
      </c>
      <c r="O7" s="13" t="str">
        <f>IFERROR(__xludf.DUMMYFUNCTION("IF(REGEXMATCH($B7,O$1),$D7,"""")"),"")</f>
        <v/>
      </c>
      <c r="P7" s="13" t="str">
        <f>IFERROR(__xludf.DUMMYFUNCTION("IF(REGEXMATCH($B7,P$1),$D7,"""")"),"Angel Construct")</f>
        <v>Angel Construct</v>
      </c>
      <c r="Q7" s="13">
        <f>IFERROR(__xludf.DUMMYFUNCTION("IF($A7="""","""",LEN(REGEXREPLACE($I7,"",\s?"","""")))"),3.0)</f>
        <v>3</v>
      </c>
      <c r="R7" s="14" t="s">
        <v>64</v>
      </c>
      <c r="S7" s="15" t="s">
        <v>65</v>
      </c>
      <c r="T7" s="13"/>
      <c r="U7" s="13"/>
      <c r="V7" s="13"/>
      <c r="W7" s="13"/>
      <c r="X7" s="13"/>
      <c r="Y7" s="13"/>
      <c r="Z7" s="13"/>
      <c r="AA7" s="13"/>
      <c r="AB7" s="13"/>
    </row>
    <row r="8">
      <c r="A8" s="22" t="s">
        <v>66</v>
      </c>
      <c r="B8" s="10" t="s">
        <v>15</v>
      </c>
      <c r="C8" s="11">
        <v>1.0</v>
      </c>
      <c r="D8" s="11" t="s">
        <v>60</v>
      </c>
      <c r="E8" s="10" t="s">
        <v>67</v>
      </c>
      <c r="F8" s="10" t="str">
        <f>IFERROR(__xludf.DUMMYFUNCTION("IF(REGEXMATCH($E8,""Wizard""),""Wizard "","""")&amp;IF(REGEXMATCH($E8,""Construct""),""Construct "","""")&amp;IF(REGEXMATCH($E8,""Insect""),""Insect "","""")&amp;IF(REGEXMATCH($E8,""Dragon""),""Dragon "","""")&amp;IF(REGEXMATCH($E8,""Human""),""Human "","""")&amp;IF(REGEXMAT"&amp;"CH($E8,""Hunter""),""Hunter "","""")&amp;IF(REGEXMATCH($E8,""Animal""),""Animal "","""")&amp;IF(REGEXMATCH($E8,""Undead""),""Undead "","""")&amp;IF(REGEXMATCH($E8,""Plant""),""Plant "","""")&amp;IF(REGEXMATCH($E8,""Dinosaur""),""Dinosaur "","""")&amp;IF(REGEXMATCH($E8,""Warr"&amp;"ior""),""Warrior "","""")&amp;IF(REGEXMATCH($E8,""Spirit""),""Spirit "","""")&amp;IF(REGEXMATCH($E8,""Angel""),""Angel "","""")&amp;IF(REGEXMATCH($E8,""Demon""),""Demon "","""")&amp;IF(REGEXMATCH($E8,""Divine""),""Divine "","""")&amp;IF(REGEXMATCH($E8,""Elemental""),""Elemen"&amp;"tal "","""")&amp;IF(REGEXMATCH($E8,""Nature""),""Nature "","""")&amp;IF(REGEXMATCH($E8,""Mortal""),""Mortal "","""")&amp;IF(REGEXMATCH($E8,""Void""),""Void "","""")&amp;IF(REGEXMATCH($E8,""Unearth|Ambush|Ritual|unearth|ambush|ritual""),""Unearth "","""")&amp;IF(REGEXMATCH($E"&amp;"8,""Unleash|Crystallize|all realms|Crystalborn|crystallize""),""Ramp "","""")&amp;IF(REGEXMATCH($E8,""Demon""),""Demon "","""")&amp;IF(REGEXMATCH($E8,""bury|buries|Bury|Buries|Cleanse|puts a Unit|trail|Trail""),""Control "","""")&amp;IF(REGEXMATCH($E8,""Bounce|Return"&amp;"|Copy|bounce|return|copy""),""Copy "","""")&amp;IF(REGEXMATCH($E8,""conquer|Conquer|leading in lanes|lead by""),""Aggro "","""")&amp;IF(REGEXMATCH($E8,""Ascend|ascend""),""Ascend "","""")&amp;IF(REGEXMATCH($E8,""Bury .+ Crystal|.*crystal.*bury""),""Empty-Crystal"","""&amp;""")&amp;IF(REGEXMATCH($E8,""Move|move""),""Move"","""")"),"Ramp Copy ")</f>
        <v>Ramp Copy </v>
      </c>
      <c r="G8" s="12" t="s">
        <v>68</v>
      </c>
      <c r="H8" s="11">
        <v>5.0</v>
      </c>
      <c r="I8" s="11" t="s">
        <v>69</v>
      </c>
      <c r="J8" s="11" t="s">
        <v>50</v>
      </c>
      <c r="L8" s="13" t="str">
        <f>IFERROR(__xludf.DUMMYFUNCTION("IF(REGEXMATCH($B8,L$1),$D8,"""")"),"")</f>
        <v/>
      </c>
      <c r="M8" s="13" t="str">
        <f>IFERROR(__xludf.DUMMYFUNCTION("IF(REGEXMATCH($B8,M$1),$D8,"""")"),"")</f>
        <v/>
      </c>
      <c r="N8" s="13" t="str">
        <f>IFERROR(__xludf.DUMMYFUNCTION("IF(REGEXMATCH($B8,N$1),$D8,"""")"),"")</f>
        <v/>
      </c>
      <c r="O8" s="13" t="str">
        <f>IFERROR(__xludf.DUMMYFUNCTION("IF(REGEXMATCH($B8,O$1),$D8,"""")"),"")</f>
        <v/>
      </c>
      <c r="P8" s="13" t="str">
        <f>IFERROR(__xludf.DUMMYFUNCTION("IF(REGEXMATCH($B8,P$1),$D8,"""")"),"Angel Construct")</f>
        <v>Angel Construct</v>
      </c>
      <c r="Q8" s="13">
        <f>IFERROR(__xludf.DUMMYFUNCTION("IF($A8="""","""",LEN(REGEXREPLACE($I8,"",\s?"","""")))"),6.0)</f>
        <v>6</v>
      </c>
      <c r="R8" s="14" t="s">
        <v>70</v>
      </c>
      <c r="S8" s="15" t="s">
        <v>71</v>
      </c>
      <c r="T8" s="13"/>
      <c r="U8" s="13"/>
      <c r="V8" s="13"/>
      <c r="W8" s="13"/>
      <c r="X8" s="13"/>
      <c r="Y8" s="13"/>
      <c r="Z8" s="13"/>
      <c r="AA8" s="13"/>
      <c r="AB8" s="13"/>
    </row>
    <row r="9">
      <c r="A9" s="10" t="s">
        <v>72</v>
      </c>
      <c r="B9" s="10" t="s">
        <v>15</v>
      </c>
      <c r="C9" s="11">
        <v>1.0</v>
      </c>
      <c r="D9" s="11" t="s">
        <v>73</v>
      </c>
      <c r="E9" s="10" t="s">
        <v>74</v>
      </c>
      <c r="F9" s="10" t="str">
        <f>IFERROR(__xludf.DUMMYFUNCTION("IF(REGEXMATCH($E9,""Wizard""),""Wizard "","""")&amp;IF(REGEXMATCH($E9,""Construct""),""Construct "","""")&amp;IF(REGEXMATCH($E9,""Insect""),""Insect "","""")&amp;IF(REGEXMATCH($E9,""Dragon""),""Dragon "","""")&amp;IF(REGEXMATCH($E9,""Human""),""Human "","""")&amp;IF(REGEXMAT"&amp;"CH($E9,""Hunter""),""Hunter "","""")&amp;IF(REGEXMATCH($E9,""Animal""),""Animal "","""")&amp;IF(REGEXMATCH($E9,""Undead""),""Undead "","""")&amp;IF(REGEXMATCH($E9,""Plant""),""Plant "","""")&amp;IF(REGEXMATCH($E9,""Dinosaur""),""Dinosaur "","""")&amp;IF(REGEXMATCH($E9,""Warr"&amp;"ior""),""Warrior "","""")&amp;IF(REGEXMATCH($E9,""Spirit""),""Spirit "","""")&amp;IF(REGEXMATCH($E9,""Angel""),""Angel "","""")&amp;IF(REGEXMATCH($E9,""Demon""),""Demon "","""")&amp;IF(REGEXMATCH($E9,""Divine""),""Divine "","""")&amp;IF(REGEXMATCH($E9,""Elemental""),""Elemen"&amp;"tal "","""")&amp;IF(REGEXMATCH($E9,""Nature""),""Nature "","""")&amp;IF(REGEXMATCH($E9,""Mortal""),""Mortal "","""")&amp;IF(REGEXMATCH($E9,""Void""),""Void "","""")&amp;IF(REGEXMATCH($E9,""Unearth|Ambush|Ritual|unearth|ambush|ritual""),""Unearth "","""")&amp;IF(REGEXMATCH($E"&amp;"9,""Unleash|Crystallize|all realms|Crystalborn|crystallize""),""Ramp "","""")&amp;IF(REGEXMATCH($E9,""Demon""),""Demon "","""")&amp;IF(REGEXMATCH($E9,""bury|buries|Bury|Buries|Cleanse|puts a Unit|trail|Trail""),""Control "","""")&amp;IF(REGEXMATCH($E9,""Bounce|Return"&amp;"|Copy|bounce|return|copy""),""Copy "","""")&amp;IF(REGEXMATCH($E9,""conquer|Conquer|leading in lanes|lead by""),""Aggro "","""")&amp;IF(REGEXMATCH($E9,""Ascend|ascend""),""Ascend "","""")&amp;IF(REGEXMATCH($E9,""Bury .+ Crystal|.*crystal.*bury""),""Empty-Crystal"","""&amp;""")&amp;IF(REGEXMATCH($E9,""Move|move""),""Move"","""")"),"Warrior Demon Demon ")</f>
        <v>Warrior Demon Demon </v>
      </c>
      <c r="G9" s="12" t="s">
        <v>75</v>
      </c>
      <c r="H9" s="11">
        <v>3.0</v>
      </c>
      <c r="I9" s="11" t="s">
        <v>56</v>
      </c>
      <c r="J9" s="11" t="s">
        <v>50</v>
      </c>
      <c r="L9" s="13" t="str">
        <f>IFERROR(__xludf.DUMMYFUNCTION("IF(REGEXMATCH($B9,L$1),$D9,"""")"),"")</f>
        <v/>
      </c>
      <c r="M9" s="13" t="str">
        <f>IFERROR(__xludf.DUMMYFUNCTION("IF(REGEXMATCH($B9,M$1),$D9,"""")"),"")</f>
        <v/>
      </c>
      <c r="N9" s="13" t="str">
        <f>IFERROR(__xludf.DUMMYFUNCTION("IF(REGEXMATCH($B9,N$1),$D9,"""")"),"")</f>
        <v/>
      </c>
      <c r="O9" s="13" t="str">
        <f>IFERROR(__xludf.DUMMYFUNCTION("IF(REGEXMATCH($B9,O$1),$D9,"""")"),"")</f>
        <v/>
      </c>
      <c r="P9" s="13" t="str">
        <f>IFERROR(__xludf.DUMMYFUNCTION("IF(REGEXMATCH($B9,P$1),$D9,"""")"),"Angel Hunter")</f>
        <v>Angel Hunter</v>
      </c>
      <c r="Q9" s="13">
        <f>IFERROR(__xludf.DUMMYFUNCTION("IF($A9="""","""",LEN(REGEXREPLACE($I9,"",\s?"","""")))"),4.0)</f>
        <v>4</v>
      </c>
      <c r="R9" s="14" t="s">
        <v>76</v>
      </c>
      <c r="S9" s="15" t="s">
        <v>77</v>
      </c>
      <c r="T9" s="15" t="s">
        <v>78</v>
      </c>
      <c r="U9" s="13"/>
      <c r="V9" s="13"/>
      <c r="W9" s="13"/>
      <c r="X9" s="13"/>
      <c r="Y9" s="13"/>
      <c r="Z9" s="13"/>
      <c r="AA9" s="13"/>
      <c r="AB9" s="13"/>
    </row>
    <row r="10" hidden="1">
      <c r="A10" s="10" t="s">
        <v>79</v>
      </c>
      <c r="B10" s="23" t="s">
        <v>15</v>
      </c>
      <c r="C10" s="11">
        <v>2.0</v>
      </c>
      <c r="D10" s="11" t="s">
        <v>80</v>
      </c>
      <c r="E10" s="10" t="s">
        <v>81</v>
      </c>
      <c r="F10" s="10" t="str">
        <f>IFERROR(__xludf.DUMMYFUNCTION("IF(REGEXMATCH($E10,""Wizard""),""Wizard "","""")&amp;IF(REGEXMATCH($E10,""Construct""),""Construct "","""")&amp;IF(REGEXMATCH($E10,""Insect""),""Insect "","""")&amp;IF(REGEXMATCH($E10,""Dragon""),""Dragon "","""")&amp;IF(REGEXMATCH($E10,""Human""),""Human "","""")&amp;IF(REG"&amp;"EXMATCH($E10,""Hunter""),""Hunter "","""")&amp;IF(REGEXMATCH($E10,""Animal""),""Animal "","""")&amp;IF(REGEXMATCH($E10,""Undead""),""Undead "","""")&amp;IF(REGEXMATCH($E10,""Plant""),""Plant "","""")&amp;IF(REGEXMATCH($E10,""Dinosaur""),""Dinosaur "","""")&amp;IF(REGEXMATCH("&amp;"$E10,""Warrior""),""Warrior "","""")&amp;IF(REGEXMATCH($E10,""Spirit""),""Spirit "","""")&amp;IF(REGEXMATCH($E10,""Angel""),""Angel "","""")&amp;IF(REGEXMATCH($E10,""Demon""),""Demon "","""")&amp;IF(REGEXMATCH($E10,""Divine""),""Divine "","""")&amp;IF(REGEXMATCH($E10,""Eleme"&amp;"ntal""),""Elemental "","""")&amp;IF(REGEXMATCH($E10,""Nature""),""Nature "","""")&amp;IF(REGEXMATCH($E10,""Mortal""),""Mortal "","""")&amp;IF(REGEXMATCH($E10,""Void""),""Void "","""")&amp;IF(REGEXMATCH($E10,""Unearth|Ambush|Ritual|unearth|ambush|ritual""),""Unearth "","""&amp;""")&amp;IF(REGEXMATCH($E10,""Unleash|Crystallize|all realms|Crystalborn|crystallize""),""Ramp "","""")&amp;IF(REGEXMATCH($E10,""Demon""),""Demon "","""")&amp;IF(REGEXMATCH($E10,""bury|buries|Bury|Buries|Cleanse|puts a Unit|trail|Trail""),""Control "","""")&amp;IF(REGEXMA"&amp;"TCH($E10,""Bounce|Return|Copy|bounce|return|copy""),""Copy "","""")&amp;IF(REGEXMATCH($E10,""conquer|Conquer|leading in lanes|lead by""),""Aggro "","""")&amp;IF(REGEXMATCH($E10,""Ascend|ascend""),""Ascend "","""")&amp;IF(REGEXMATCH($E10,""Bury .+ Crystal|.*crystal.*b"&amp;"ury""),""Empty-Crystal"","""")&amp;IF(REGEXMATCH($E10,""Move|move""),""Move"","""")"),"")</f>
        <v/>
      </c>
      <c r="G10" s="12" t="s">
        <v>82</v>
      </c>
      <c r="H10" s="11">
        <v>4.0</v>
      </c>
      <c r="I10" s="11" t="s">
        <v>63</v>
      </c>
      <c r="J10" s="11" t="s">
        <v>50</v>
      </c>
      <c r="L10" s="13" t="str">
        <f>IFERROR(__xludf.DUMMYFUNCTION("IF(REGEXMATCH($B10,L$1),$D10,"""")"),"")</f>
        <v/>
      </c>
      <c r="M10" s="13" t="str">
        <f>IFERROR(__xludf.DUMMYFUNCTION("IF(REGEXMATCH($B10,M$1),$D10,"""")"),"")</f>
        <v/>
      </c>
      <c r="N10" s="13" t="str">
        <f>IFERROR(__xludf.DUMMYFUNCTION("IF(REGEXMATCH($B10,N$1),$D10,"""")"),"")</f>
        <v/>
      </c>
      <c r="O10" s="13" t="str">
        <f>IFERROR(__xludf.DUMMYFUNCTION("IF(REGEXMATCH($B10,O$1),$D10,"""")"),"")</f>
        <v/>
      </c>
      <c r="P10" s="13" t="str">
        <f>IFERROR(__xludf.DUMMYFUNCTION("IF(REGEXMATCH($B10,P$1),$D10,"""")"),"Crusader Spirit Warrior")</f>
        <v>Crusader Spirit Warrior</v>
      </c>
      <c r="Q10" s="13">
        <f>IFERROR(__xludf.DUMMYFUNCTION("IF($A10="""","""",LEN(REGEXREPLACE($I10,"",\s?"","""")))"),3.0)</f>
        <v>3</v>
      </c>
      <c r="S10" s="13"/>
      <c r="T10" s="13"/>
      <c r="U10" s="13"/>
      <c r="V10" s="13"/>
      <c r="W10" s="13"/>
      <c r="X10" s="13"/>
      <c r="Y10" s="13"/>
      <c r="Z10" s="13"/>
      <c r="AA10" s="13"/>
      <c r="AB10" s="13"/>
    </row>
    <row r="11">
      <c r="A11" s="22" t="s">
        <v>83</v>
      </c>
      <c r="B11" s="10" t="s">
        <v>15</v>
      </c>
      <c r="C11" s="11">
        <v>1.0</v>
      </c>
      <c r="D11" s="11" t="s">
        <v>84</v>
      </c>
      <c r="E11" s="10" t="s">
        <v>85</v>
      </c>
      <c r="F11" s="10" t="str">
        <f>IFERROR(__xludf.DUMMYFUNCTION("IF(REGEXMATCH($E11,""Wizard""),""Wizard "","""")&amp;IF(REGEXMATCH($E11,""Construct""),""Construct "","""")&amp;IF(REGEXMATCH($E11,""Insect""),""Insect "","""")&amp;IF(REGEXMATCH($E11,""Dragon""),""Dragon "","""")&amp;IF(REGEXMATCH($E11,""Human""),""Human "","""")&amp;IF(REG"&amp;"EXMATCH($E11,""Hunter""),""Hunter "","""")&amp;IF(REGEXMATCH($E11,""Animal""),""Animal "","""")&amp;IF(REGEXMATCH($E11,""Undead""),""Undead "","""")&amp;IF(REGEXMATCH($E11,""Plant""),""Plant "","""")&amp;IF(REGEXMATCH($E11,""Dinosaur""),""Dinosaur "","""")&amp;IF(REGEXMATCH("&amp;"$E11,""Warrior""),""Warrior "","""")&amp;IF(REGEXMATCH($E11,""Spirit""),""Spirit "","""")&amp;IF(REGEXMATCH($E11,""Angel""),""Angel "","""")&amp;IF(REGEXMATCH($E11,""Demon""),""Demon "","""")&amp;IF(REGEXMATCH($E11,""Divine""),""Divine "","""")&amp;IF(REGEXMATCH($E11,""Eleme"&amp;"ntal""),""Elemental "","""")&amp;IF(REGEXMATCH($E11,""Nature""),""Nature "","""")&amp;IF(REGEXMATCH($E11,""Mortal""),""Mortal "","""")&amp;IF(REGEXMATCH($E11,""Void""),""Void "","""")&amp;IF(REGEXMATCH($E11,""Unearth|Ambush|Ritual|unearth|ambush|ritual""),""Unearth "","""&amp;""")&amp;IF(REGEXMATCH($E11,""Unleash|Crystallize|all realms|Crystalborn|crystallize""),""Ramp "","""")&amp;IF(REGEXMATCH($E11,""Demon""),""Demon "","""")&amp;IF(REGEXMATCH($E11,""bury|buries|Bury|Buries|Cleanse|puts a Unit|trail|Trail""),""Control "","""")&amp;IF(REGEXMA"&amp;"TCH($E11,""Bounce|Return|Copy|bounce|return|copy""),""Copy "","""")&amp;IF(REGEXMATCH($E11,""conquer|Conquer|leading in lanes|lead by""),""Aggro "","""")&amp;IF(REGEXMATCH($E11,""Ascend|ascend""),""Ascend "","""")&amp;IF(REGEXMATCH($E11,""Bury .+ Crystal|.*crystal.*b"&amp;"ury""),""Empty-Crystal"","""")&amp;IF(REGEXMATCH($E11,""Move|move""),""Move"","""")"),"Ramp ")</f>
        <v>Ramp </v>
      </c>
      <c r="G11" s="12" t="s">
        <v>86</v>
      </c>
      <c r="H11" s="11">
        <v>2.0</v>
      </c>
      <c r="I11" s="11" t="s">
        <v>87</v>
      </c>
      <c r="J11" s="11" t="s">
        <v>42</v>
      </c>
      <c r="L11" s="13" t="str">
        <f>IFERROR(__xludf.DUMMYFUNCTION("IF(REGEXMATCH($B11,L$1),$D11,"""")"),"")</f>
        <v/>
      </c>
      <c r="M11" s="13" t="str">
        <f>IFERROR(__xludf.DUMMYFUNCTION("IF(REGEXMATCH($B11,M$1),$D11,"""")"),"")</f>
        <v/>
      </c>
      <c r="N11" s="13" t="str">
        <f>IFERROR(__xludf.DUMMYFUNCTION("IF(REGEXMATCH($B11,N$1),$D11,"""")"),"")</f>
        <v/>
      </c>
      <c r="O11" s="13" t="str">
        <f>IFERROR(__xludf.DUMMYFUNCTION("IF(REGEXMATCH($B11,O$1),$D11,"""")"),"")</f>
        <v/>
      </c>
      <c r="P11" s="13" t="str">
        <f>IFERROR(__xludf.DUMMYFUNCTION("IF(REGEXMATCH($B11,P$1),$D11,"""")"),"Angel Plant")</f>
        <v>Angel Plant</v>
      </c>
      <c r="Q11" s="13">
        <f>IFERROR(__xludf.DUMMYFUNCTION("IF($A11="""","""",LEN(REGEXREPLACE($I11,"",\s?"","""")))"),4.0)</f>
        <v>4</v>
      </c>
      <c r="R11" s="14" t="s">
        <v>88</v>
      </c>
      <c r="S11" s="15" t="s">
        <v>89</v>
      </c>
      <c r="T11" s="13"/>
      <c r="U11" s="13"/>
      <c r="V11" s="13"/>
      <c r="W11" s="13"/>
      <c r="X11" s="13"/>
      <c r="Y11" s="13"/>
      <c r="Z11" s="13"/>
      <c r="AA11" s="13"/>
      <c r="AB11" s="13"/>
    </row>
    <row r="12" hidden="1">
      <c r="A12" s="10" t="s">
        <v>90</v>
      </c>
      <c r="B12" s="24" t="s">
        <v>15</v>
      </c>
      <c r="C12" s="11">
        <v>2.0</v>
      </c>
      <c r="D12" s="11" t="s">
        <v>29</v>
      </c>
      <c r="E12" s="10" t="s">
        <v>91</v>
      </c>
      <c r="F12" s="10" t="str">
        <f>IFERROR(__xludf.DUMMYFUNCTION("IF(REGEXMATCH($E12,""Wizard""),""Wizard "","""")&amp;IF(REGEXMATCH($E12,""Construct""),""Construct "","""")&amp;IF(REGEXMATCH($E12,""Insect""),""Insect "","""")&amp;IF(REGEXMATCH($E12,""Dragon""),""Dragon "","""")&amp;IF(REGEXMATCH($E12,""Human""),""Human "","""")&amp;IF(REG"&amp;"EXMATCH($E12,""Hunter""),""Hunter "","""")&amp;IF(REGEXMATCH($E12,""Animal""),""Animal "","""")&amp;IF(REGEXMATCH($E12,""Undead""),""Undead "","""")&amp;IF(REGEXMATCH($E12,""Plant""),""Plant "","""")&amp;IF(REGEXMATCH($E12,""Dinosaur""),""Dinosaur "","""")&amp;IF(REGEXMATCH("&amp;"$E12,""Warrior""),""Warrior "","""")&amp;IF(REGEXMATCH($E12,""Spirit""),""Spirit "","""")&amp;IF(REGEXMATCH($E12,""Angel""),""Angel "","""")&amp;IF(REGEXMATCH($E12,""Demon""),""Demon "","""")&amp;IF(REGEXMATCH($E12,""Divine""),""Divine "","""")&amp;IF(REGEXMATCH($E12,""Eleme"&amp;"ntal""),""Elemental "","""")&amp;IF(REGEXMATCH($E12,""Nature""),""Nature "","""")&amp;IF(REGEXMATCH($E12,""Mortal""),""Mortal "","""")&amp;IF(REGEXMATCH($E12,""Void""),""Void "","""")&amp;IF(REGEXMATCH($E12,""Unearth|Ambush|Ritual|unearth|ambush|ritual""),""Unearth "","""&amp;""")&amp;IF(REGEXMATCH($E12,""Unleash|Crystallize|all realms|Crystalborn|crystallize""),""Ramp "","""")&amp;IF(REGEXMATCH($E12,""Demon""),""Demon "","""")&amp;IF(REGEXMATCH($E12,""bury|buries|Bury|Buries|Cleanse|puts a Unit|trail|Trail""),""Control "","""")&amp;IF(REGEXMA"&amp;"TCH($E12,""Bounce|Return|Copy|bounce|return|copy""),""Copy "","""")&amp;IF(REGEXMATCH($E12,""conquer|Conquer|leading in lanes|lead by""),""Aggro "","""")&amp;IF(REGEXMATCH($E12,""Ascend|ascend""),""Ascend "","""")&amp;IF(REGEXMATCH($E12,""Bury .+ Crystal|.*crystal.*b"&amp;"ury""),""Empty-Crystal"","""")&amp;IF(REGEXMATCH($E12,""Move|move""),""Move"","""")"),"Unearth Control ")</f>
        <v>Unearth Control </v>
      </c>
      <c r="G12" s="12" t="s">
        <v>92</v>
      </c>
      <c r="H12" s="11">
        <v>4.0</v>
      </c>
      <c r="I12" s="11" t="s">
        <v>32</v>
      </c>
      <c r="J12" s="11" t="s">
        <v>50</v>
      </c>
      <c r="L12" s="13" t="str">
        <f>IFERROR(__xludf.DUMMYFUNCTION("IF(REGEXMATCH($B12,L$1),$D12,"""")"),"")</f>
        <v/>
      </c>
      <c r="M12" s="13" t="str">
        <f>IFERROR(__xludf.DUMMYFUNCTION("IF(REGEXMATCH($B12,M$1),$D12,"""")"),"")</f>
        <v/>
      </c>
      <c r="N12" s="13" t="str">
        <f>IFERROR(__xludf.DUMMYFUNCTION("IF(REGEXMATCH($B12,N$1),$D12,"""")"),"")</f>
        <v/>
      </c>
      <c r="O12" s="13" t="str">
        <f>IFERROR(__xludf.DUMMYFUNCTION("IF(REGEXMATCH($B12,O$1),$D12,"""")"),"")</f>
        <v/>
      </c>
      <c r="P12" s="13" t="str">
        <f>IFERROR(__xludf.DUMMYFUNCTION("IF(REGEXMATCH($B12,P$1),$D12,"""")"),"Angel")</f>
        <v>Angel</v>
      </c>
      <c r="Q12" s="13">
        <f>IFERROR(__xludf.DUMMYFUNCTION("IF($A12="""","""",LEN(REGEXREPLACE($I12,"",\s?"","""")))"),5.0)</f>
        <v>5</v>
      </c>
      <c r="S12" s="13"/>
      <c r="T12" s="13"/>
      <c r="U12" s="13"/>
      <c r="V12" s="13"/>
      <c r="W12" s="13"/>
      <c r="X12" s="13"/>
      <c r="Y12" s="13"/>
      <c r="Z12" s="13"/>
      <c r="AA12" s="13"/>
      <c r="AB12" s="13"/>
    </row>
    <row r="13" hidden="1">
      <c r="A13" s="19" t="s">
        <v>93</v>
      </c>
      <c r="B13" s="16" t="s">
        <v>15</v>
      </c>
      <c r="C13" s="11">
        <v>2.0</v>
      </c>
      <c r="D13" s="18" t="s">
        <v>29</v>
      </c>
      <c r="E13" s="19" t="s">
        <v>94</v>
      </c>
      <c r="F13" s="10" t="str">
        <f>IFERROR(__xludf.DUMMYFUNCTION("IF(REGEXMATCH($E13,""Wizard""),""Wizard "","""")&amp;IF(REGEXMATCH($E13,""Construct""),""Construct "","""")&amp;IF(REGEXMATCH($E13,""Insect""),""Insect "","""")&amp;IF(REGEXMATCH($E13,""Dragon""),""Dragon "","""")&amp;IF(REGEXMATCH($E13,""Human""),""Human "","""")&amp;IF(REG"&amp;"EXMATCH($E13,""Hunter""),""Hunter "","""")&amp;IF(REGEXMATCH($E13,""Animal""),""Animal "","""")&amp;IF(REGEXMATCH($E13,""Undead""),""Undead "","""")&amp;IF(REGEXMATCH($E13,""Plant""),""Plant "","""")&amp;IF(REGEXMATCH($E13,""Dinosaur""),""Dinosaur "","""")&amp;IF(REGEXMATCH("&amp;"$E13,""Warrior""),""Warrior "","""")&amp;IF(REGEXMATCH($E13,""Spirit""),""Spirit "","""")&amp;IF(REGEXMATCH($E13,""Angel""),""Angel "","""")&amp;IF(REGEXMATCH($E13,""Demon""),""Demon "","""")&amp;IF(REGEXMATCH($E13,""Divine""),""Divine "","""")&amp;IF(REGEXMATCH($E13,""Eleme"&amp;"ntal""),""Elemental "","""")&amp;IF(REGEXMATCH($E13,""Nature""),""Nature "","""")&amp;IF(REGEXMATCH($E13,""Mortal""),""Mortal "","""")&amp;IF(REGEXMATCH($E13,""Void""),""Void "","""")&amp;IF(REGEXMATCH($E13,""Unearth|Ambush|Ritual|unearth|ambush|ritual""),""Unearth "","""&amp;""")&amp;IF(REGEXMATCH($E13,""Unleash|Crystallize|all realms|Crystalborn|crystallize""),""Ramp "","""")&amp;IF(REGEXMATCH($E13,""Demon""),""Demon "","""")&amp;IF(REGEXMATCH($E13,""bury|buries|Bury|Buries|Cleanse|puts a Unit|trail|Trail""),""Control "","""")&amp;IF(REGEXMA"&amp;"TCH($E13,""Bounce|Return|Copy|bounce|return|copy""),""Copy "","""")&amp;IF(REGEXMATCH($E13,""conquer|Conquer|leading in lanes|lead by""),""Aggro "","""")&amp;IF(REGEXMATCH($E13,""Ascend|ascend""),""Ascend "","""")&amp;IF(REGEXMATCH($E13,""Bury .+ Crystal|.*crystal.*b"&amp;"ury""),""Empty-Crystal"","""")&amp;IF(REGEXMATCH($E13,""Move|move""),""Move"","""")"),"Angel Ramp ")</f>
        <v>Angel Ramp </v>
      </c>
      <c r="G13" s="20" t="s">
        <v>95</v>
      </c>
      <c r="H13" s="18">
        <v>4.0</v>
      </c>
      <c r="I13" s="18" t="s">
        <v>49</v>
      </c>
      <c r="J13" s="18" t="s">
        <v>50</v>
      </c>
      <c r="L13" s="13" t="str">
        <f>IFERROR(__xludf.DUMMYFUNCTION("IF(REGEXMATCH($B13,L$1),$D13,"""")"),"")</f>
        <v/>
      </c>
      <c r="M13" s="13" t="str">
        <f>IFERROR(__xludf.DUMMYFUNCTION("IF(REGEXMATCH($B13,M$1),$D13,"""")"),"")</f>
        <v/>
      </c>
      <c r="N13" s="13" t="str">
        <f>IFERROR(__xludf.DUMMYFUNCTION("IF(REGEXMATCH($B13,N$1),$D13,"""")"),"")</f>
        <v/>
      </c>
      <c r="O13" s="13" t="str">
        <f>IFERROR(__xludf.DUMMYFUNCTION("IF(REGEXMATCH($B13,O$1),$D13,"""")"),"")</f>
        <v/>
      </c>
      <c r="P13" s="13" t="str">
        <f>IFERROR(__xludf.DUMMYFUNCTION("IF(REGEXMATCH($B13,P$1),$D13,"""")"),"Angel")</f>
        <v>Angel</v>
      </c>
      <c r="Q13" s="13">
        <f>IFERROR(__xludf.DUMMYFUNCTION("IF($A13="""","""",LEN(REGEXREPLACE($I13,"",\s?"","""")))"),3.0)</f>
        <v>3</v>
      </c>
      <c r="S13" s="13"/>
      <c r="T13" s="13"/>
      <c r="U13" s="13"/>
      <c r="V13" s="13"/>
      <c r="W13" s="13"/>
      <c r="X13" s="13"/>
      <c r="Y13" s="13"/>
      <c r="Z13" s="13"/>
      <c r="AA13" s="13"/>
      <c r="AB13" s="13"/>
    </row>
    <row r="14" hidden="1">
      <c r="A14" s="10" t="s">
        <v>96</v>
      </c>
      <c r="B14" s="16" t="s">
        <v>15</v>
      </c>
      <c r="C14" s="11">
        <v>2.0</v>
      </c>
      <c r="D14" s="11" t="s">
        <v>97</v>
      </c>
      <c r="E14" s="10" t="s">
        <v>98</v>
      </c>
      <c r="F14" s="10" t="str">
        <f>IFERROR(__xludf.DUMMYFUNCTION("IF(REGEXMATCH($E14,""Wizard""),""Wizard "","""")&amp;IF(REGEXMATCH($E14,""Construct""),""Construct "","""")&amp;IF(REGEXMATCH($E14,""Insect""),""Insect "","""")&amp;IF(REGEXMATCH($E14,""Dragon""),""Dragon "","""")&amp;IF(REGEXMATCH($E14,""Human""),""Human "","""")&amp;IF(REG"&amp;"EXMATCH($E14,""Hunter""),""Hunter "","""")&amp;IF(REGEXMATCH($E14,""Animal""),""Animal "","""")&amp;IF(REGEXMATCH($E14,""Undead""),""Undead "","""")&amp;IF(REGEXMATCH($E14,""Plant""),""Plant "","""")&amp;IF(REGEXMATCH($E14,""Dinosaur""),""Dinosaur "","""")&amp;IF(REGEXMATCH("&amp;"$E14,""Warrior""),""Warrior "","""")&amp;IF(REGEXMATCH($E14,""Spirit""),""Spirit "","""")&amp;IF(REGEXMATCH($E14,""Angel""),""Angel "","""")&amp;IF(REGEXMATCH($E14,""Demon""),""Demon "","""")&amp;IF(REGEXMATCH($E14,""Divine""),""Divine "","""")&amp;IF(REGEXMATCH($E14,""Eleme"&amp;"ntal""),""Elemental "","""")&amp;IF(REGEXMATCH($E14,""Nature""),""Nature "","""")&amp;IF(REGEXMATCH($E14,""Mortal""),""Mortal "","""")&amp;IF(REGEXMATCH($E14,""Void""),""Void "","""")&amp;IF(REGEXMATCH($E14,""Unearth|Ambush|Ritual|unearth|ambush|ritual""),""Unearth "","""&amp;""")&amp;IF(REGEXMATCH($E14,""Unleash|Crystallize|all realms|Crystalborn|crystallize""),""Ramp "","""")&amp;IF(REGEXMATCH($E14,""Demon""),""Demon "","""")&amp;IF(REGEXMATCH($E14,""bury|buries|Bury|Buries|Cleanse|puts a Unit|trail|Trail""),""Control "","""")&amp;IF(REGEXMA"&amp;"TCH($E14,""Bounce|Return|Copy|bounce|return|copy""),""Copy "","""")&amp;IF(REGEXMATCH($E14,""conquer|Conquer|leading in lanes|lead by""),""Aggro "","""")&amp;IF(REGEXMATCH($E14,""Ascend|ascend""),""Ascend "","""")&amp;IF(REGEXMATCH($E14,""Bury .+ Crystal|.*crystal.*b"&amp;"ury""),""Empty-Crystal"","""")&amp;IF(REGEXMATCH($E14,""Move|move""),""Move"","""")"),"Angel Control ")</f>
        <v>Angel Control </v>
      </c>
      <c r="G14" s="12" t="s">
        <v>99</v>
      </c>
      <c r="H14" s="11">
        <v>2.0</v>
      </c>
      <c r="I14" s="11" t="s">
        <v>63</v>
      </c>
      <c r="J14" s="11" t="s">
        <v>50</v>
      </c>
      <c r="L14" s="13" t="str">
        <f>IFERROR(__xludf.DUMMYFUNCTION("IF(REGEXMATCH($B14,L$1),$D14,"""")"),"")</f>
        <v/>
      </c>
      <c r="M14" s="13" t="str">
        <f>IFERROR(__xludf.DUMMYFUNCTION("IF(REGEXMATCH($B14,M$1),$D14,"""")"),"")</f>
        <v/>
      </c>
      <c r="N14" s="13" t="str">
        <f>IFERROR(__xludf.DUMMYFUNCTION("IF(REGEXMATCH($B14,N$1),$D14,"""")"),"")</f>
        <v/>
      </c>
      <c r="O14" s="13" t="str">
        <f>IFERROR(__xludf.DUMMYFUNCTION("IF(REGEXMATCH($B14,O$1),$D14,"""")"),"")</f>
        <v/>
      </c>
      <c r="P14" s="13" t="str">
        <f>IFERROR(__xludf.DUMMYFUNCTION("IF(REGEXMATCH($B14,P$1),$D14,"""")"),"Angel Warrior")</f>
        <v>Angel Warrior</v>
      </c>
      <c r="Q14" s="13">
        <f>IFERROR(__xludf.DUMMYFUNCTION("IF($A14="""","""",LEN(REGEXREPLACE($I14,"",\s?"","""")))"),3.0)</f>
        <v>3</v>
      </c>
      <c r="S14" s="13"/>
      <c r="T14" s="13"/>
      <c r="U14" s="13"/>
      <c r="V14" s="13"/>
      <c r="W14" s="13"/>
      <c r="X14" s="13"/>
      <c r="Y14" s="13"/>
      <c r="Z14" s="13"/>
      <c r="AA14" s="13"/>
      <c r="AB14" s="13"/>
    </row>
    <row r="15">
      <c r="A15" s="10" t="s">
        <v>100</v>
      </c>
      <c r="B15" s="10" t="s">
        <v>15</v>
      </c>
      <c r="C15" s="11">
        <v>1.0</v>
      </c>
      <c r="D15" s="25" t="s">
        <v>101</v>
      </c>
      <c r="E15" s="10" t="s">
        <v>102</v>
      </c>
      <c r="F15" s="10" t="str">
        <f>IFERROR(__xludf.DUMMYFUNCTION("IF(REGEXMATCH($E15,""Wizard""),""Wizard "","""")&amp;IF(REGEXMATCH($E15,""Construct""),""Construct "","""")&amp;IF(REGEXMATCH($E15,""Insect""),""Insect "","""")&amp;IF(REGEXMATCH($E15,""Dragon""),""Dragon "","""")&amp;IF(REGEXMATCH($E15,""Human""),""Human "","""")&amp;IF(REG"&amp;"EXMATCH($E15,""Hunter""),""Hunter "","""")&amp;IF(REGEXMATCH($E15,""Animal""),""Animal "","""")&amp;IF(REGEXMATCH($E15,""Undead""),""Undead "","""")&amp;IF(REGEXMATCH($E15,""Plant""),""Plant "","""")&amp;IF(REGEXMATCH($E15,""Dinosaur""),""Dinosaur "","""")&amp;IF(REGEXMATCH("&amp;"$E15,""Warrior""),""Warrior "","""")&amp;IF(REGEXMATCH($E15,""Spirit""),""Spirit "","""")&amp;IF(REGEXMATCH($E15,""Angel""),""Angel "","""")&amp;IF(REGEXMATCH($E15,""Demon""),""Demon "","""")&amp;IF(REGEXMATCH($E15,""Divine""),""Divine "","""")&amp;IF(REGEXMATCH($E15,""Eleme"&amp;"ntal""),""Elemental "","""")&amp;IF(REGEXMATCH($E15,""Nature""),""Nature "","""")&amp;IF(REGEXMATCH($E15,""Mortal""),""Mortal "","""")&amp;IF(REGEXMATCH($E15,""Void""),""Void "","""")&amp;IF(REGEXMATCH($E15,""Unearth|Ambush|Ritual|unearth|ambush|ritual""),""Unearth "","""&amp;""")&amp;IF(REGEXMATCH($E15,""Unleash|Crystallize|all realms|Crystalborn|crystallize""),""Ramp "","""")&amp;IF(REGEXMATCH($E15,""Demon""),""Demon "","""")&amp;IF(REGEXMATCH($E15,""bury|buries|Bury|Buries|Cleanse|puts a Unit|trail|Trail""),""Control "","""")&amp;IF(REGEXMA"&amp;"TCH($E15,""Bounce|Return|Copy|bounce|return|copy""),""Copy "","""")&amp;IF(REGEXMATCH($E15,""conquer|Conquer|leading in lanes|lead by""),""Aggro "","""")&amp;IF(REGEXMATCH($E15,""Ascend|ascend""),""Ascend "","""")&amp;IF(REGEXMATCH($E15,""Bury .+ Crystal|.*crystal.*b"&amp;"ury""),""Empty-Crystal"","""")&amp;IF(REGEXMATCH($E15,""Move|move""),""Move"","""")"),"Angel ")</f>
        <v>Angel </v>
      </c>
      <c r="G15" s="12" t="s">
        <v>103</v>
      </c>
      <c r="H15" s="11">
        <v>4.0</v>
      </c>
      <c r="I15" s="11" t="s">
        <v>87</v>
      </c>
      <c r="J15" s="11" t="s">
        <v>50</v>
      </c>
      <c r="L15" s="13" t="str">
        <f>IFERROR(__xludf.DUMMYFUNCTION("IF(REGEXMATCH($B15,L$1),$D15,"""")"),"")</f>
        <v/>
      </c>
      <c r="M15" s="13" t="str">
        <f>IFERROR(__xludf.DUMMYFUNCTION("IF(REGEXMATCH($B15,M$1),$D15,"""")"),"")</f>
        <v/>
      </c>
      <c r="N15" s="13" t="str">
        <f>IFERROR(__xludf.DUMMYFUNCTION("IF(REGEXMATCH($B15,N$1),$D15,"""")"),"")</f>
        <v/>
      </c>
      <c r="O15" s="13" t="str">
        <f>IFERROR(__xludf.DUMMYFUNCTION("IF(REGEXMATCH($B15,O$1),$D15,"""")"),"")</f>
        <v/>
      </c>
      <c r="P15" s="13" t="str">
        <f>IFERROR(__xludf.DUMMYFUNCTION("IF(REGEXMATCH($B15,P$1),$D15,"""")"),"Angel Spirit")</f>
        <v>Angel Spirit</v>
      </c>
      <c r="Q15" s="13">
        <f>IFERROR(__xludf.DUMMYFUNCTION("IF($A15="""","""",LEN(REGEXREPLACE($I15,"",\s?"","""")))"),4.0)</f>
        <v>4</v>
      </c>
      <c r="R15" s="14" t="s">
        <v>104</v>
      </c>
      <c r="S15" s="15" t="s">
        <v>105</v>
      </c>
      <c r="T15" s="13"/>
      <c r="U15" s="13"/>
      <c r="V15" s="13"/>
      <c r="W15" s="13"/>
      <c r="X15" s="13"/>
      <c r="Y15" s="13"/>
      <c r="Z15" s="13"/>
      <c r="AA15" s="13"/>
      <c r="AB15" s="13"/>
    </row>
    <row r="16" hidden="1">
      <c r="A16" s="19" t="s">
        <v>106</v>
      </c>
      <c r="B16" s="17" t="s">
        <v>15</v>
      </c>
      <c r="C16" s="18">
        <v>2.0</v>
      </c>
      <c r="D16" s="18" t="s">
        <v>107</v>
      </c>
      <c r="E16" s="26" t="s">
        <v>108</v>
      </c>
      <c r="F16" s="10" t="str">
        <f>IFERROR(__xludf.DUMMYFUNCTION("IF(REGEXMATCH($E16,""Wizard""),""Wizard "","""")&amp;IF(REGEXMATCH($E16,""Construct""),""Construct "","""")&amp;IF(REGEXMATCH($E16,""Insect""),""Insect "","""")&amp;IF(REGEXMATCH($E16,""Dragon""),""Dragon "","""")&amp;IF(REGEXMATCH($E16,""Human""),""Human "","""")&amp;IF(REG"&amp;"EXMATCH($E16,""Hunter""),""Hunter "","""")&amp;IF(REGEXMATCH($E16,""Animal""),""Animal "","""")&amp;IF(REGEXMATCH($E16,""Undead""),""Undead "","""")&amp;IF(REGEXMATCH($E16,""Plant""),""Plant "","""")&amp;IF(REGEXMATCH($E16,""Dinosaur""),""Dinosaur "","""")&amp;IF(REGEXMATCH("&amp;"$E16,""Warrior""),""Warrior "","""")&amp;IF(REGEXMATCH($E16,""Spirit""),""Spirit "","""")&amp;IF(REGEXMATCH($E16,""Angel""),""Angel "","""")&amp;IF(REGEXMATCH($E16,""Demon""),""Demon "","""")&amp;IF(REGEXMATCH($E16,""Divine""),""Divine "","""")&amp;IF(REGEXMATCH($E16,""Eleme"&amp;"ntal""),""Elemental "","""")&amp;IF(REGEXMATCH($E16,""Nature""),""Nature "","""")&amp;IF(REGEXMATCH($E16,""Mortal""),""Mortal "","""")&amp;IF(REGEXMATCH($E16,""Void""),""Void "","""")&amp;IF(REGEXMATCH($E16,""Unearth|Ambush|Ritual|unearth|ambush|ritual""),""Unearth "","""&amp;""")&amp;IF(REGEXMATCH($E16,""Unleash|Crystallize|all realms|Crystalborn|crystallize""),""Ramp "","""")&amp;IF(REGEXMATCH($E16,""Demon""),""Demon "","""")&amp;IF(REGEXMATCH($E16,""bury|buries|Bury|Buries|Cleanse|puts a Unit|trail|Trail""),""Control "","""")&amp;IF(REGEXMA"&amp;"TCH($E16,""Bounce|Return|Copy|bounce|return|copy""),""Copy "","""")&amp;IF(REGEXMATCH($E16,""conquer|Conquer|leading in lanes|lead by""),""Aggro "","""")&amp;IF(REGEXMATCH($E16,""Ascend|ascend""),""Ascend "","""")&amp;IF(REGEXMATCH($E16,""Bury .+ Crystal|.*crystal.*b"&amp;"ury""),""Empty-Crystal"","""")&amp;IF(REGEXMATCH($E16,""Move|move""),""Move"","""")"),"Void Ramp Ascend ")</f>
        <v>Void Ramp Ascend </v>
      </c>
      <c r="G16" s="20" t="s">
        <v>109</v>
      </c>
      <c r="H16" s="18">
        <v>0.0</v>
      </c>
      <c r="I16" s="18" t="s">
        <v>63</v>
      </c>
      <c r="J16" s="18" t="s">
        <v>50</v>
      </c>
      <c r="L16" s="13" t="str">
        <f>IFERROR(__xludf.DUMMYFUNCTION("IF(REGEXMATCH($B16,L$1),$D16,"""")"),"")</f>
        <v/>
      </c>
      <c r="M16" s="13" t="str">
        <f>IFERROR(__xludf.DUMMYFUNCTION("IF(REGEXMATCH($B16,M$1),$D16,"""")"),"")</f>
        <v/>
      </c>
      <c r="N16" s="13" t="str">
        <f>IFERROR(__xludf.DUMMYFUNCTION("IF(REGEXMATCH($B16,N$1),$D16,"""")"),"")</f>
        <v/>
      </c>
      <c r="O16" s="13" t="str">
        <f>IFERROR(__xludf.DUMMYFUNCTION("IF(REGEXMATCH($B16,O$1),$D16,"""")"),"")</f>
        <v/>
      </c>
      <c r="P16" s="13" t="str">
        <f>IFERROR(__xludf.DUMMYFUNCTION("IF(REGEXMATCH($B16,P$1),$D16,"""")"),"Construct Demon")</f>
        <v>Construct Demon</v>
      </c>
      <c r="Q16" s="13">
        <f>IFERROR(__xludf.DUMMYFUNCTION("IF($A16="""","""",LEN(REGEXREPLACE($I16,"",\s?"","""")))"),3.0)</f>
        <v>3</v>
      </c>
      <c r="S16" s="13"/>
      <c r="T16" s="13"/>
      <c r="U16" s="13"/>
      <c r="V16" s="13"/>
      <c r="W16" s="13"/>
      <c r="X16" s="13"/>
      <c r="Y16" s="13"/>
      <c r="Z16" s="13"/>
      <c r="AA16" s="13"/>
      <c r="AB16" s="13"/>
    </row>
    <row r="17" hidden="1">
      <c r="A17" s="22" t="s">
        <v>110</v>
      </c>
      <c r="B17" s="16" t="s">
        <v>15</v>
      </c>
      <c r="C17" s="11">
        <v>2.0</v>
      </c>
      <c r="D17" s="11" t="s">
        <v>60</v>
      </c>
      <c r="E17" s="10" t="s">
        <v>111</v>
      </c>
      <c r="F17" s="10" t="str">
        <f>IFERROR(__xludf.DUMMYFUNCTION("IF(REGEXMATCH($E17,""Wizard""),""Wizard "","""")&amp;IF(REGEXMATCH($E17,""Construct""),""Construct "","""")&amp;IF(REGEXMATCH($E17,""Insect""),""Insect "","""")&amp;IF(REGEXMATCH($E17,""Dragon""),""Dragon "","""")&amp;IF(REGEXMATCH($E17,""Human""),""Human "","""")&amp;IF(REG"&amp;"EXMATCH($E17,""Hunter""),""Hunter "","""")&amp;IF(REGEXMATCH($E17,""Animal""),""Animal "","""")&amp;IF(REGEXMATCH($E17,""Undead""),""Undead "","""")&amp;IF(REGEXMATCH($E17,""Plant""),""Plant "","""")&amp;IF(REGEXMATCH($E17,""Dinosaur""),""Dinosaur "","""")&amp;IF(REGEXMATCH("&amp;"$E17,""Warrior""),""Warrior "","""")&amp;IF(REGEXMATCH($E17,""Spirit""),""Spirit "","""")&amp;IF(REGEXMATCH($E17,""Angel""),""Angel "","""")&amp;IF(REGEXMATCH($E17,""Demon""),""Demon "","""")&amp;IF(REGEXMATCH($E17,""Divine""),""Divine "","""")&amp;IF(REGEXMATCH($E17,""Eleme"&amp;"ntal""),""Elemental "","""")&amp;IF(REGEXMATCH($E17,""Nature""),""Nature "","""")&amp;IF(REGEXMATCH($E17,""Mortal""),""Mortal "","""")&amp;IF(REGEXMATCH($E17,""Void""),""Void "","""")&amp;IF(REGEXMATCH($E17,""Unearth|Ambush|Ritual|unearth|ambush|ritual""),""Unearth "","""&amp;""")&amp;IF(REGEXMATCH($E17,""Unleash|Crystallize|all realms|Crystalborn|crystallize""),""Ramp "","""")&amp;IF(REGEXMATCH($E17,""Demon""),""Demon "","""")&amp;IF(REGEXMATCH($E17,""bury|buries|Bury|Buries|Cleanse|puts a Unit|trail|Trail""),""Control "","""")&amp;IF(REGEXMA"&amp;"TCH($E17,""Bounce|Return|Copy|bounce|return|copy""),""Copy "","""")&amp;IF(REGEXMATCH($E17,""conquer|Conquer|leading in lanes|lead by""),""Aggro "","""")&amp;IF(REGEXMATCH($E17,""Ascend|ascend""),""Ascend "","""")&amp;IF(REGEXMATCH($E17,""Bury .+ Crystal|.*crystal.*b"&amp;"ury""),""Empty-Crystal"","""")&amp;IF(REGEXMATCH($E17,""Move|move""),""Move"","""")"),"Control Aggro ")</f>
        <v>Control Aggro </v>
      </c>
      <c r="G17" s="12" t="s">
        <v>112</v>
      </c>
      <c r="H17" s="11">
        <v>4.0</v>
      </c>
      <c r="I17" s="11" t="s">
        <v>113</v>
      </c>
      <c r="J17" s="11" t="s">
        <v>50</v>
      </c>
      <c r="L17" s="13" t="str">
        <f>IFERROR(__xludf.DUMMYFUNCTION("IF(REGEXMATCH($B17,L$1),$D17,"""")"),"")</f>
        <v/>
      </c>
      <c r="M17" s="13" t="str">
        <f>IFERROR(__xludf.DUMMYFUNCTION("IF(REGEXMATCH($B17,M$1),$D17,"""")"),"")</f>
        <v/>
      </c>
      <c r="N17" s="13" t="str">
        <f>IFERROR(__xludf.DUMMYFUNCTION("IF(REGEXMATCH($B17,N$1),$D17,"""")"),"")</f>
        <v/>
      </c>
      <c r="O17" s="13" t="str">
        <f>IFERROR(__xludf.DUMMYFUNCTION("IF(REGEXMATCH($B17,O$1),$D17,"""")"),"")</f>
        <v/>
      </c>
      <c r="P17" s="13" t="str">
        <f>IFERROR(__xludf.DUMMYFUNCTION("IF(REGEXMATCH($B17,P$1),$D17,"""")"),"Angel Construct")</f>
        <v>Angel Construct</v>
      </c>
      <c r="Q17" s="13">
        <f>IFERROR(__xludf.DUMMYFUNCTION("IF($A17="""","""",LEN(REGEXREPLACE($I17,"",\s?"","""")))"),6.0)</f>
        <v>6</v>
      </c>
      <c r="S17" s="13"/>
      <c r="T17" s="13"/>
      <c r="U17" s="13"/>
      <c r="V17" s="13"/>
      <c r="W17" s="13"/>
      <c r="X17" s="13"/>
      <c r="Y17" s="13"/>
      <c r="Z17" s="13"/>
      <c r="AA17" s="13"/>
      <c r="AB17" s="13"/>
    </row>
    <row r="18">
      <c r="A18" s="10" t="s">
        <v>114</v>
      </c>
      <c r="B18" s="10" t="s">
        <v>15</v>
      </c>
      <c r="C18" s="11">
        <v>1.0</v>
      </c>
      <c r="D18" s="11" t="s">
        <v>97</v>
      </c>
      <c r="E18" s="27" t="s">
        <v>115</v>
      </c>
      <c r="F18" s="10" t="str">
        <f>IFERROR(__xludf.DUMMYFUNCTION("IF(REGEXMATCH($E18,""Wizard""),""Wizard "","""")&amp;IF(REGEXMATCH($E18,""Construct""),""Construct "","""")&amp;IF(REGEXMATCH($E18,""Insect""),""Insect "","""")&amp;IF(REGEXMATCH($E18,""Dragon""),""Dragon "","""")&amp;IF(REGEXMATCH($E18,""Human""),""Human "","""")&amp;IF(REG"&amp;"EXMATCH($E18,""Hunter""),""Hunter "","""")&amp;IF(REGEXMATCH($E18,""Animal""),""Animal "","""")&amp;IF(REGEXMATCH($E18,""Undead""),""Undead "","""")&amp;IF(REGEXMATCH($E18,""Plant""),""Plant "","""")&amp;IF(REGEXMATCH($E18,""Dinosaur""),""Dinosaur "","""")&amp;IF(REGEXMATCH("&amp;"$E18,""Warrior""),""Warrior "","""")&amp;IF(REGEXMATCH($E18,""Spirit""),""Spirit "","""")&amp;IF(REGEXMATCH($E18,""Angel""),""Angel "","""")&amp;IF(REGEXMATCH($E18,""Demon""),""Demon "","""")&amp;IF(REGEXMATCH($E18,""Divine""),""Divine "","""")&amp;IF(REGEXMATCH($E18,""Eleme"&amp;"ntal""),""Elemental "","""")&amp;IF(REGEXMATCH($E18,""Nature""),""Nature "","""")&amp;IF(REGEXMATCH($E18,""Mortal""),""Mortal "","""")&amp;IF(REGEXMATCH($E18,""Void""),""Void "","""")&amp;IF(REGEXMATCH($E18,""Unearth|Ambush|Ritual|unearth|ambush|ritual""),""Unearth "","""&amp;""")&amp;IF(REGEXMATCH($E18,""Unleash|Crystallize|all realms|Crystalborn|crystallize""),""Ramp "","""")&amp;IF(REGEXMATCH($E18,""Demon""),""Demon "","""")&amp;IF(REGEXMATCH($E18,""bury|buries|Bury|Buries|Cleanse|puts a Unit|trail|Trail""),""Control "","""")&amp;IF(REGEXMA"&amp;"TCH($E18,""Bounce|Return|Copy|bounce|return|copy""),""Copy "","""")&amp;IF(REGEXMATCH($E18,""conquer|Conquer|leading in lanes|lead by""),""Aggro "","""")&amp;IF(REGEXMATCH($E18,""Ascend|ascend""),""Ascend "","""")&amp;IF(REGEXMATCH($E18,""Bury .+ Crystal|.*crystal.*b"&amp;"ury""),""Empty-Crystal"","""")&amp;IF(REGEXMATCH($E18,""Move|move""),""Move"","""")"),"Control Aggro ")</f>
        <v>Control Aggro </v>
      </c>
      <c r="G18" s="28" t="s">
        <v>116</v>
      </c>
      <c r="H18" s="11">
        <v>5.0</v>
      </c>
      <c r="I18" s="11" t="s">
        <v>32</v>
      </c>
      <c r="J18" s="11" t="s">
        <v>33</v>
      </c>
      <c r="L18" s="13" t="str">
        <f>IFERROR(__xludf.DUMMYFUNCTION("IF(REGEXMATCH($B18,L$1),$D18,"""")"),"")</f>
        <v/>
      </c>
      <c r="M18" s="13" t="str">
        <f>IFERROR(__xludf.DUMMYFUNCTION("IF(REGEXMATCH($B18,M$1),$D18,"""")"),"")</f>
        <v/>
      </c>
      <c r="N18" s="13" t="str">
        <f>IFERROR(__xludf.DUMMYFUNCTION("IF(REGEXMATCH($B18,N$1),$D18,"""")"),"")</f>
        <v/>
      </c>
      <c r="O18" s="13" t="str">
        <f>IFERROR(__xludf.DUMMYFUNCTION("IF(REGEXMATCH($B18,O$1),$D18,"""")"),"")</f>
        <v/>
      </c>
      <c r="P18" s="13" t="str">
        <f>IFERROR(__xludf.DUMMYFUNCTION("IF(REGEXMATCH($B18,P$1),$D18,"""")"),"Angel Warrior")</f>
        <v>Angel Warrior</v>
      </c>
      <c r="Q18" s="13">
        <f>IFERROR(__xludf.DUMMYFUNCTION("IF($A18="""","""",LEN(REGEXREPLACE($I18,"",\s?"","""")))"),5.0)</f>
        <v>5</v>
      </c>
      <c r="R18" s="14" t="s">
        <v>117</v>
      </c>
      <c r="S18" s="15" t="s">
        <v>118</v>
      </c>
      <c r="T18" s="13"/>
      <c r="U18" s="13"/>
      <c r="V18" s="13"/>
      <c r="W18" s="13"/>
      <c r="X18" s="13"/>
      <c r="Y18" s="13"/>
      <c r="Z18" s="13"/>
      <c r="AA18" s="13"/>
      <c r="AB18" s="13"/>
    </row>
    <row r="19">
      <c r="A19" s="29" t="s">
        <v>119</v>
      </c>
      <c r="B19" s="10" t="s">
        <v>15</v>
      </c>
      <c r="C19" s="11">
        <v>1.0</v>
      </c>
      <c r="D19" s="11" t="s">
        <v>97</v>
      </c>
      <c r="F19" s="10" t="str">
        <f>IFERROR(__xludf.DUMMYFUNCTION("IF(REGEXMATCH($E19,""Wizard""),""Wizard "","""")&amp;IF(REGEXMATCH($E19,""Construct""),""Construct "","""")&amp;IF(REGEXMATCH($E19,""Insect""),""Insect "","""")&amp;IF(REGEXMATCH($E19,""Dragon""),""Dragon "","""")&amp;IF(REGEXMATCH($E19,""Human""),""Human "","""")&amp;IF(REG"&amp;"EXMATCH($E19,""Hunter""),""Hunter "","""")&amp;IF(REGEXMATCH($E19,""Animal""),""Animal "","""")&amp;IF(REGEXMATCH($E19,""Undead""),""Undead "","""")&amp;IF(REGEXMATCH($E19,""Plant""),""Plant "","""")&amp;IF(REGEXMATCH($E19,""Dinosaur""),""Dinosaur "","""")&amp;IF(REGEXMATCH("&amp;"$E19,""Warrior""),""Warrior "","""")&amp;IF(REGEXMATCH($E19,""Spirit""),""Spirit "","""")&amp;IF(REGEXMATCH($E19,""Angel""),""Angel "","""")&amp;IF(REGEXMATCH($E19,""Demon""),""Demon "","""")&amp;IF(REGEXMATCH($E19,""Divine""),""Divine "","""")&amp;IF(REGEXMATCH($E19,""Eleme"&amp;"ntal""),""Elemental "","""")&amp;IF(REGEXMATCH($E19,""Nature""),""Nature "","""")&amp;IF(REGEXMATCH($E19,""Mortal""),""Mortal "","""")&amp;IF(REGEXMATCH($E19,""Void""),""Void "","""")&amp;IF(REGEXMATCH($E19,""Unearth|Ambush|Ritual|unearth|ambush|ritual""),""Unearth "","""&amp;""")&amp;IF(REGEXMATCH($E19,""Unleash|Crystallize|all realms|Crystalborn|crystallize""),""Ramp "","""")&amp;IF(REGEXMATCH($E19,""Demon""),""Demon "","""")&amp;IF(REGEXMATCH($E19,""bury|buries|Bury|Buries|Cleanse|puts a Unit|trail|Trail""),""Control "","""")&amp;IF(REGEXMA"&amp;"TCH($E19,""Bounce|Return|Copy|bounce|return|copy""),""Copy "","""")&amp;IF(REGEXMATCH($E19,""conquer|Conquer|leading in lanes|lead by""),""Aggro "","""")&amp;IF(REGEXMATCH($E19,""Ascend|ascend""),""Ascend "","""")&amp;IF(REGEXMATCH($E19,""Bury .+ Crystal|.*crystal.*b"&amp;"ury""),""Empty-Crystal"","""")&amp;IF(REGEXMATCH($E19,""Move|move""),""Move"","""")"),"")</f>
        <v/>
      </c>
      <c r="G19" s="12" t="s">
        <v>120</v>
      </c>
      <c r="H19" s="11">
        <v>3.0</v>
      </c>
      <c r="I19" s="11" t="s">
        <v>121</v>
      </c>
      <c r="J19" s="11" t="s">
        <v>42</v>
      </c>
      <c r="L19" s="13" t="str">
        <f>IFERROR(__xludf.DUMMYFUNCTION("IF(REGEXMATCH($B19,L$1),$D19,"""")"),"")</f>
        <v/>
      </c>
      <c r="M19" s="13" t="str">
        <f>IFERROR(__xludf.DUMMYFUNCTION("IF(REGEXMATCH($B19,M$1),$D19,"""")"),"")</f>
        <v/>
      </c>
      <c r="N19" s="13" t="str">
        <f>IFERROR(__xludf.DUMMYFUNCTION("IF(REGEXMATCH($B19,N$1),$D19,"""")"),"")</f>
        <v/>
      </c>
      <c r="O19" s="13" t="str">
        <f>IFERROR(__xludf.DUMMYFUNCTION("IF(REGEXMATCH($B19,O$1),$D19,"""")"),"")</f>
        <v/>
      </c>
      <c r="P19" s="13" t="str">
        <f>IFERROR(__xludf.DUMMYFUNCTION("IF(REGEXMATCH($B19,P$1),$D19,"""")"),"Angel Warrior")</f>
        <v>Angel Warrior</v>
      </c>
      <c r="Q19" s="13">
        <f>IFERROR(__xludf.DUMMYFUNCTION("IF($A19="""","""",LEN(REGEXREPLACE($I19,"",\s?"","""")))"),2.0)</f>
        <v>2</v>
      </c>
      <c r="R19" s="14" t="s">
        <v>51</v>
      </c>
      <c r="S19" s="15" t="s">
        <v>122</v>
      </c>
      <c r="T19" s="15" t="s">
        <v>123</v>
      </c>
      <c r="U19" s="13"/>
      <c r="V19" s="13"/>
      <c r="W19" s="13"/>
      <c r="X19" s="13"/>
      <c r="Y19" s="13"/>
      <c r="Z19" s="13"/>
      <c r="AA19" s="13"/>
      <c r="AB19" s="13"/>
    </row>
    <row r="20" hidden="1">
      <c r="A20" s="19" t="s">
        <v>124</v>
      </c>
      <c r="B20" s="16" t="s">
        <v>15</v>
      </c>
      <c r="C20" s="11">
        <v>2.0</v>
      </c>
      <c r="D20" s="18" t="s">
        <v>125</v>
      </c>
      <c r="E20" s="19" t="s">
        <v>126</v>
      </c>
      <c r="F20" s="10" t="str">
        <f>IFERROR(__xludf.DUMMYFUNCTION("IF(REGEXMATCH($E20,""Wizard""),""Wizard "","""")&amp;IF(REGEXMATCH($E20,""Construct""),""Construct "","""")&amp;IF(REGEXMATCH($E20,""Insect""),""Insect "","""")&amp;IF(REGEXMATCH($E20,""Dragon""),""Dragon "","""")&amp;IF(REGEXMATCH($E20,""Human""),""Human "","""")&amp;IF(REG"&amp;"EXMATCH($E20,""Hunter""),""Hunter "","""")&amp;IF(REGEXMATCH($E20,""Animal""),""Animal "","""")&amp;IF(REGEXMATCH($E20,""Undead""),""Undead "","""")&amp;IF(REGEXMATCH($E20,""Plant""),""Plant "","""")&amp;IF(REGEXMATCH($E20,""Dinosaur""),""Dinosaur "","""")&amp;IF(REGEXMATCH("&amp;"$E20,""Warrior""),""Warrior "","""")&amp;IF(REGEXMATCH($E20,""Spirit""),""Spirit "","""")&amp;IF(REGEXMATCH($E20,""Angel""),""Angel "","""")&amp;IF(REGEXMATCH($E20,""Demon""),""Demon "","""")&amp;IF(REGEXMATCH($E20,""Divine""),""Divine "","""")&amp;IF(REGEXMATCH($E20,""Eleme"&amp;"ntal""),""Elemental "","""")&amp;IF(REGEXMATCH($E20,""Nature""),""Nature "","""")&amp;IF(REGEXMATCH($E20,""Mortal""),""Mortal "","""")&amp;IF(REGEXMATCH($E20,""Void""),""Void "","""")&amp;IF(REGEXMATCH($E20,""Unearth|Ambush|Ritual|unearth|ambush|ritual""),""Unearth "","""&amp;""")&amp;IF(REGEXMATCH($E20,""Unleash|Crystallize|all realms|Crystalborn|crystallize""),""Ramp "","""")&amp;IF(REGEXMATCH($E20,""Demon""),""Demon "","""")&amp;IF(REGEXMATCH($E20,""bury|buries|Bury|Buries|Cleanse|puts a Unit|trail|Trail""),""Control "","""")&amp;IF(REGEXMA"&amp;"TCH($E20,""Bounce|Return|Copy|bounce|return|copy""),""Copy "","""")&amp;IF(REGEXMATCH($E20,""conquer|Conquer|leading in lanes|lead by""),""Aggro "","""")&amp;IF(REGEXMATCH($E20,""Ascend|ascend""),""Ascend "","""")&amp;IF(REGEXMATCH($E20,""Bury .+ Crystal|.*crystal.*b"&amp;"ury""),""Empty-Crystal"","""")&amp;IF(REGEXMATCH($E20,""Move|move""),""Move"","""")"),"Construct ")</f>
        <v>Construct </v>
      </c>
      <c r="G20" s="20" t="s">
        <v>127</v>
      </c>
      <c r="H20" s="18">
        <v>1.0</v>
      </c>
      <c r="I20" s="18" t="s">
        <v>41</v>
      </c>
      <c r="J20" s="18" t="s">
        <v>50</v>
      </c>
      <c r="L20" s="13" t="str">
        <f>IFERROR(__xludf.DUMMYFUNCTION("IF(REGEXMATCH($B20,L$1),$D20,"""")"),"")</f>
        <v/>
      </c>
      <c r="M20" s="13" t="str">
        <f>IFERROR(__xludf.DUMMYFUNCTION("IF(REGEXMATCH($B20,M$1),$D20,"""")"),"")</f>
        <v/>
      </c>
      <c r="N20" s="13" t="str">
        <f>IFERROR(__xludf.DUMMYFUNCTION("IF(REGEXMATCH($B20,N$1),$D20,"""")"),"")</f>
        <v/>
      </c>
      <c r="O20" s="13" t="str">
        <f>IFERROR(__xludf.DUMMYFUNCTION("IF(REGEXMATCH($B20,O$1),$D20,"""")"),"")</f>
        <v/>
      </c>
      <c r="P20" s="13" t="str">
        <f>IFERROR(__xludf.DUMMYFUNCTION("IF(REGEXMATCH($B20,P$1),$D20,"""")"),"Construct")</f>
        <v>Construct</v>
      </c>
      <c r="Q20" s="13">
        <f>IFERROR(__xludf.DUMMYFUNCTION("IF($A20="""","""",LEN(REGEXREPLACE($I20,"",\s?"","""")))"),1.0)</f>
        <v>1</v>
      </c>
      <c r="S20" s="13"/>
      <c r="T20" s="13"/>
      <c r="U20" s="13"/>
      <c r="V20" s="13"/>
      <c r="W20" s="13"/>
      <c r="X20" s="13"/>
      <c r="Y20" s="13"/>
      <c r="Z20" s="13"/>
      <c r="AA20" s="13"/>
      <c r="AB20" s="13"/>
    </row>
    <row r="21" hidden="1">
      <c r="A21" s="19" t="s">
        <v>128</v>
      </c>
      <c r="B21" s="17" t="s">
        <v>15</v>
      </c>
      <c r="C21" s="18">
        <v>2.0</v>
      </c>
      <c r="D21" s="18" t="s">
        <v>44</v>
      </c>
      <c r="E21" s="19" t="s">
        <v>129</v>
      </c>
      <c r="F21" s="10" t="str">
        <f>IFERROR(__xludf.DUMMYFUNCTION("IF(REGEXMATCH($E21,""Wizard""),""Wizard "","""")&amp;IF(REGEXMATCH($E21,""Construct""),""Construct "","""")&amp;IF(REGEXMATCH($E21,""Insect""),""Insect "","""")&amp;IF(REGEXMATCH($E21,""Dragon""),""Dragon "","""")&amp;IF(REGEXMATCH($E21,""Human""),""Human "","""")&amp;IF(REG"&amp;"EXMATCH($E21,""Hunter""),""Hunter "","""")&amp;IF(REGEXMATCH($E21,""Animal""),""Animal "","""")&amp;IF(REGEXMATCH($E21,""Undead""),""Undead "","""")&amp;IF(REGEXMATCH($E21,""Plant""),""Plant "","""")&amp;IF(REGEXMATCH($E21,""Dinosaur""),""Dinosaur "","""")&amp;IF(REGEXMATCH("&amp;"$E21,""Warrior""),""Warrior "","""")&amp;IF(REGEXMATCH($E21,""Spirit""),""Spirit "","""")&amp;IF(REGEXMATCH($E21,""Angel""),""Angel "","""")&amp;IF(REGEXMATCH($E21,""Demon""),""Demon "","""")&amp;IF(REGEXMATCH($E21,""Divine""),""Divine "","""")&amp;IF(REGEXMATCH($E21,""Eleme"&amp;"ntal""),""Elemental "","""")&amp;IF(REGEXMATCH($E21,""Nature""),""Nature "","""")&amp;IF(REGEXMATCH($E21,""Mortal""),""Mortal "","""")&amp;IF(REGEXMATCH($E21,""Void""),""Void "","""")&amp;IF(REGEXMATCH($E21,""Unearth|Ambush|Ritual|unearth|ambush|ritual""),""Unearth "","""&amp;""")&amp;IF(REGEXMATCH($E21,""Unleash|Crystallize|all realms|Crystalborn|crystallize""),""Ramp "","""")&amp;IF(REGEXMATCH($E21,""Demon""),""Demon "","""")&amp;IF(REGEXMATCH($E21,""bury|buries|Bury|Buries|Cleanse|puts a Unit|trail|Trail""),""Control "","""")&amp;IF(REGEXMA"&amp;"TCH($E21,""Bounce|Return|Copy|bounce|return|copy""),""Copy "","""")&amp;IF(REGEXMATCH($E21,""conquer|Conquer|leading in lanes|lead by""),""Aggro "","""")&amp;IF(REGEXMATCH($E21,""Ascend|ascend""),""Ascend "","""")&amp;IF(REGEXMATCH($E21,""Bury .+ Crystal|.*crystal.*b"&amp;"ury""),""Empty-Crystal"","""")&amp;IF(REGEXMATCH($E21,""Move|move""),""Move"","""")"),"Construct Warrior Angel Ascend ")</f>
        <v>Construct Warrior Angel Ascend </v>
      </c>
      <c r="G21" s="20" t="s">
        <v>40</v>
      </c>
      <c r="H21" s="18">
        <v>0.0</v>
      </c>
      <c r="I21" s="18" t="s">
        <v>49</v>
      </c>
      <c r="J21" s="18" t="s">
        <v>42</v>
      </c>
      <c r="L21" s="13" t="str">
        <f>IFERROR(__xludf.DUMMYFUNCTION("IF(REGEXMATCH($B21,L$1),$D21,"""")"),"")</f>
        <v/>
      </c>
      <c r="M21" s="13" t="str">
        <f>IFERROR(__xludf.DUMMYFUNCTION("IF(REGEXMATCH($B21,M$1),$D21,"""")"),"")</f>
        <v/>
      </c>
      <c r="N21" s="13" t="str">
        <f>IFERROR(__xludf.DUMMYFUNCTION("IF(REGEXMATCH($B21,N$1),$D21,"""")"),"")</f>
        <v/>
      </c>
      <c r="O21" s="13" t="str">
        <f>IFERROR(__xludf.DUMMYFUNCTION("IF(REGEXMATCH($B21,O$1),$D21,"""")"),"")</f>
        <v/>
      </c>
      <c r="P21" s="13" t="str">
        <f>IFERROR(__xludf.DUMMYFUNCTION("IF(REGEXMATCH($B21,P$1),$D21,"""")"),"Human")</f>
        <v>Human</v>
      </c>
      <c r="Q21" s="13">
        <f>IFERROR(__xludf.DUMMYFUNCTION("IF($A21="""","""",LEN(REGEXREPLACE($I21,"",\s?"","""")))"),3.0)</f>
        <v>3</v>
      </c>
      <c r="S21" s="13"/>
      <c r="T21" s="13"/>
      <c r="U21" s="13"/>
      <c r="V21" s="13"/>
      <c r="W21" s="13"/>
      <c r="X21" s="13"/>
      <c r="Y21" s="13"/>
      <c r="Z21" s="13"/>
      <c r="AA21" s="13"/>
      <c r="AB21" s="13"/>
    </row>
    <row r="22">
      <c r="A22" s="19" t="s">
        <v>130</v>
      </c>
      <c r="B22" s="10" t="s">
        <v>15</v>
      </c>
      <c r="C22" s="11">
        <v>1.0</v>
      </c>
      <c r="D22" s="11" t="s">
        <v>131</v>
      </c>
      <c r="E22" s="10" t="s">
        <v>132</v>
      </c>
      <c r="F22" s="10" t="str">
        <f>IFERROR(__xludf.DUMMYFUNCTION("IF(REGEXMATCH($E22,""Wizard""),""Wizard "","""")&amp;IF(REGEXMATCH($E22,""Construct""),""Construct "","""")&amp;IF(REGEXMATCH($E22,""Insect""),""Insect "","""")&amp;IF(REGEXMATCH($E22,""Dragon""),""Dragon "","""")&amp;IF(REGEXMATCH($E22,""Human""),""Human "","""")&amp;IF(REG"&amp;"EXMATCH($E22,""Hunter""),""Hunter "","""")&amp;IF(REGEXMATCH($E22,""Animal""),""Animal "","""")&amp;IF(REGEXMATCH($E22,""Undead""),""Undead "","""")&amp;IF(REGEXMATCH($E22,""Plant""),""Plant "","""")&amp;IF(REGEXMATCH($E22,""Dinosaur""),""Dinosaur "","""")&amp;IF(REGEXMATCH("&amp;"$E22,""Warrior""),""Warrior "","""")&amp;IF(REGEXMATCH($E22,""Spirit""),""Spirit "","""")&amp;IF(REGEXMATCH($E22,""Angel""),""Angel "","""")&amp;IF(REGEXMATCH($E22,""Demon""),""Demon "","""")&amp;IF(REGEXMATCH($E22,""Divine""),""Divine "","""")&amp;IF(REGEXMATCH($E22,""Eleme"&amp;"ntal""),""Elemental "","""")&amp;IF(REGEXMATCH($E22,""Nature""),""Nature "","""")&amp;IF(REGEXMATCH($E22,""Mortal""),""Mortal "","""")&amp;IF(REGEXMATCH($E22,""Void""),""Void "","""")&amp;IF(REGEXMATCH($E22,""Unearth|Ambush|Ritual|unearth|ambush|ritual""),""Unearth "","""&amp;""")&amp;IF(REGEXMATCH($E22,""Unleash|Crystallize|all realms|Crystalborn|crystallize""),""Ramp "","""")&amp;IF(REGEXMATCH($E22,""Demon""),""Demon "","""")&amp;IF(REGEXMATCH($E22,""bury|buries|Bury|Buries|Cleanse|puts a Unit|trail|Trail""),""Control "","""")&amp;IF(REGEXMA"&amp;"TCH($E22,""Bounce|Return|Copy|bounce|return|copy""),""Copy "","""")&amp;IF(REGEXMATCH($E22,""conquer|Conquer|leading in lanes|lead by""),""Aggro "","""")&amp;IF(REGEXMATCH($E22,""Ascend|ascend""),""Ascend "","""")&amp;IF(REGEXMATCH($E22,""Bury .+ Crystal|.*crystal.*b"&amp;"ury""),""Empty-Crystal"","""")&amp;IF(REGEXMATCH($E22,""Move|move""),""Move"","""")"),"Move")</f>
        <v>Move</v>
      </c>
      <c r="G22" s="12" t="s">
        <v>133</v>
      </c>
      <c r="H22" s="11">
        <v>3.0</v>
      </c>
      <c r="I22" s="11" t="s">
        <v>49</v>
      </c>
      <c r="J22" s="11" t="s">
        <v>50</v>
      </c>
      <c r="L22" s="13" t="str">
        <f>IFERROR(__xludf.DUMMYFUNCTION("IF(REGEXMATCH($B22,L$1),$D22,"""")"),"")</f>
        <v/>
      </c>
      <c r="M22" s="13" t="str">
        <f>IFERROR(__xludf.DUMMYFUNCTION("IF(REGEXMATCH($B22,M$1),$D22,"""")"),"")</f>
        <v/>
      </c>
      <c r="N22" s="13" t="str">
        <f>IFERROR(__xludf.DUMMYFUNCTION("IF(REGEXMATCH($B22,N$1),$D22,"""")"),"")</f>
        <v/>
      </c>
      <c r="O22" s="13" t="str">
        <f>IFERROR(__xludf.DUMMYFUNCTION("IF(REGEXMATCH($B22,O$1),$D22,"""")"),"")</f>
        <v/>
      </c>
      <c r="P22" s="13" t="str">
        <f>IFERROR(__xludf.DUMMYFUNCTION("IF(REGEXMATCH($B22,P$1),$D22,"""")"),"Angel Wizard")</f>
        <v>Angel Wizard</v>
      </c>
      <c r="Q22" s="13">
        <f>IFERROR(__xludf.DUMMYFUNCTION("IF($A22="""","""",LEN(REGEXREPLACE($I22,"",\s?"","""")))"),3.0)</f>
        <v>3</v>
      </c>
      <c r="R22" s="14" t="s">
        <v>134</v>
      </c>
      <c r="S22" s="15" t="s">
        <v>135</v>
      </c>
      <c r="T22" s="15" t="s">
        <v>136</v>
      </c>
      <c r="U22" s="15" t="s">
        <v>137</v>
      </c>
      <c r="V22" s="13"/>
      <c r="W22" s="13"/>
      <c r="X22" s="13"/>
      <c r="Y22" s="13"/>
      <c r="Z22" s="13"/>
      <c r="AA22" s="13"/>
      <c r="AB22" s="13"/>
    </row>
    <row r="23">
      <c r="A23" s="10" t="s">
        <v>138</v>
      </c>
      <c r="B23" s="10" t="s">
        <v>15</v>
      </c>
      <c r="C23" s="11">
        <v>1.0</v>
      </c>
      <c r="D23" s="11" t="s">
        <v>139</v>
      </c>
      <c r="E23" s="10" t="s">
        <v>140</v>
      </c>
      <c r="F23" s="10" t="str">
        <f>IFERROR(__xludf.DUMMYFUNCTION("IF(REGEXMATCH($E23,""Wizard""),""Wizard "","""")&amp;IF(REGEXMATCH($E23,""Construct""),""Construct "","""")&amp;IF(REGEXMATCH($E23,""Insect""),""Insect "","""")&amp;IF(REGEXMATCH($E23,""Dragon""),""Dragon "","""")&amp;IF(REGEXMATCH($E23,""Human""),""Human "","""")&amp;IF(REG"&amp;"EXMATCH($E23,""Hunter""),""Hunter "","""")&amp;IF(REGEXMATCH($E23,""Animal""),""Animal "","""")&amp;IF(REGEXMATCH($E23,""Undead""),""Undead "","""")&amp;IF(REGEXMATCH($E23,""Plant""),""Plant "","""")&amp;IF(REGEXMATCH($E23,""Dinosaur""),""Dinosaur "","""")&amp;IF(REGEXMATCH("&amp;"$E23,""Warrior""),""Warrior "","""")&amp;IF(REGEXMATCH($E23,""Spirit""),""Spirit "","""")&amp;IF(REGEXMATCH($E23,""Angel""),""Angel "","""")&amp;IF(REGEXMATCH($E23,""Demon""),""Demon "","""")&amp;IF(REGEXMATCH($E23,""Divine""),""Divine "","""")&amp;IF(REGEXMATCH($E23,""Eleme"&amp;"ntal""),""Elemental "","""")&amp;IF(REGEXMATCH($E23,""Nature""),""Nature "","""")&amp;IF(REGEXMATCH($E23,""Mortal""),""Mortal "","""")&amp;IF(REGEXMATCH($E23,""Void""),""Void "","""")&amp;IF(REGEXMATCH($E23,""Unearth|Ambush|Ritual|unearth|ambush|ritual""),""Unearth "","""&amp;""")&amp;IF(REGEXMATCH($E23,""Unleash|Crystallize|all realms|Crystalborn|crystallize""),""Ramp "","""")&amp;IF(REGEXMATCH($E23,""Demon""),""Demon "","""")&amp;IF(REGEXMATCH($E23,""bury|buries|Bury|Buries|Cleanse|puts a Unit|trail|Trail""),""Control "","""")&amp;IF(REGEXMA"&amp;"TCH($E23,""Bounce|Return|Copy|bounce|return|copy""),""Copy "","""")&amp;IF(REGEXMATCH($E23,""conquer|Conquer|leading in lanes|lead by""),""Aggro "","""")&amp;IF(REGEXMATCH($E23,""Ascend|ascend""),""Ascend "","""")&amp;IF(REGEXMATCH($E23,""Bury .+ Crystal|.*crystal.*b"&amp;"ury""),""Empty-Crystal"","""")&amp;IF(REGEXMATCH($E23,""Move|move""),""Move"","""")"),"Divine ")</f>
        <v>Divine </v>
      </c>
      <c r="G23" s="12" t="s">
        <v>141</v>
      </c>
      <c r="H23" s="11">
        <v>1.0</v>
      </c>
      <c r="I23" s="11" t="s">
        <v>121</v>
      </c>
      <c r="J23" s="11" t="s">
        <v>42</v>
      </c>
      <c r="L23" s="13" t="str">
        <f>IFERROR(__xludf.DUMMYFUNCTION("IF(REGEXMATCH($B23,L$1),$D23,"""")"),"")</f>
        <v/>
      </c>
      <c r="M23" s="13" t="str">
        <f>IFERROR(__xludf.DUMMYFUNCTION("IF(REGEXMATCH($B23,M$1),$D23,"""")"),"")</f>
        <v/>
      </c>
      <c r="N23" s="13" t="str">
        <f>IFERROR(__xludf.DUMMYFUNCTION("IF(REGEXMATCH($B23,N$1),$D23,"""")"),"")</f>
        <v/>
      </c>
      <c r="O23" s="13" t="str">
        <f>IFERROR(__xludf.DUMMYFUNCTION("IF(REGEXMATCH($B23,O$1),$D23,"""")"),"")</f>
        <v/>
      </c>
      <c r="P23" s="13" t="str">
        <f>IFERROR(__xludf.DUMMYFUNCTION("IF(REGEXMATCH($B23,P$1),$D23,"""")"),"Animal")</f>
        <v>Animal</v>
      </c>
      <c r="Q23" s="13">
        <f>IFERROR(__xludf.DUMMYFUNCTION("IF($A23="""","""",LEN(REGEXREPLACE($I23,"",\s?"","""")))"),2.0)</f>
        <v>2</v>
      </c>
      <c r="R23" s="14" t="s">
        <v>142</v>
      </c>
      <c r="S23" s="15" t="s">
        <v>143</v>
      </c>
      <c r="T23" s="13"/>
      <c r="U23" s="13"/>
      <c r="V23" s="13"/>
      <c r="W23" s="13"/>
      <c r="X23" s="13"/>
      <c r="Y23" s="13"/>
      <c r="Z23" s="13"/>
      <c r="AA23" s="13"/>
      <c r="AB23" s="13"/>
    </row>
    <row r="24" hidden="1">
      <c r="A24" s="19" t="s">
        <v>144</v>
      </c>
      <c r="B24" s="17" t="s">
        <v>15</v>
      </c>
      <c r="C24" s="18">
        <v>2.0</v>
      </c>
      <c r="D24" s="18" t="s">
        <v>60</v>
      </c>
      <c r="E24" s="30" t="s">
        <v>145</v>
      </c>
      <c r="F24" s="10" t="str">
        <f>IFERROR(__xludf.DUMMYFUNCTION("IF(REGEXMATCH($E24,""Wizard""),""Wizard "","""")&amp;IF(REGEXMATCH($E24,""Construct""),""Construct "","""")&amp;IF(REGEXMATCH($E24,""Insect""),""Insect "","""")&amp;IF(REGEXMATCH($E24,""Dragon""),""Dragon "","""")&amp;IF(REGEXMATCH($E24,""Human""),""Human "","""")&amp;IF(REG"&amp;"EXMATCH($E24,""Hunter""),""Hunter "","""")&amp;IF(REGEXMATCH($E24,""Animal""),""Animal "","""")&amp;IF(REGEXMATCH($E24,""Undead""),""Undead "","""")&amp;IF(REGEXMATCH($E24,""Plant""),""Plant "","""")&amp;IF(REGEXMATCH($E24,""Dinosaur""),""Dinosaur "","""")&amp;IF(REGEXMATCH("&amp;"$E24,""Warrior""),""Warrior "","""")&amp;IF(REGEXMATCH($E24,""Spirit""),""Spirit "","""")&amp;IF(REGEXMATCH($E24,""Angel""),""Angel "","""")&amp;IF(REGEXMATCH($E24,""Demon""),""Demon "","""")&amp;IF(REGEXMATCH($E24,""Divine""),""Divine "","""")&amp;IF(REGEXMATCH($E24,""Eleme"&amp;"ntal""),""Elemental "","""")&amp;IF(REGEXMATCH($E24,""Nature""),""Nature "","""")&amp;IF(REGEXMATCH($E24,""Mortal""),""Mortal "","""")&amp;IF(REGEXMATCH($E24,""Void""),""Void "","""")&amp;IF(REGEXMATCH($E24,""Unearth|Ambush|Ritual|unearth|ambush|ritual""),""Unearth "","""&amp;""")&amp;IF(REGEXMATCH($E24,""Unleash|Crystallize|all realms|Crystalborn|crystallize""),""Ramp "","""")&amp;IF(REGEXMATCH($E24,""Demon""),""Demon "","""")&amp;IF(REGEXMATCH($E24,""bury|buries|Bury|Buries|Cleanse|puts a Unit|trail|Trail""),""Control "","""")&amp;IF(REGEXMA"&amp;"TCH($E24,""Bounce|Return|Copy|bounce|return|copy""),""Copy "","""")&amp;IF(REGEXMATCH($E24,""conquer|Conquer|leading in lanes|lead by""),""Aggro "","""")&amp;IF(REGEXMATCH($E24,""Ascend|ascend""),""Ascend "","""")&amp;IF(REGEXMATCH($E24,""Bury .+ Crystal|.*crystal.*b"&amp;"ury""),""Empty-Crystal"","""")&amp;IF(REGEXMATCH($E24,""Move|move""),""Move"","""")"),"Construct Angel Ramp ")</f>
        <v>Construct Angel Ramp </v>
      </c>
      <c r="G24" s="20" t="s">
        <v>146</v>
      </c>
      <c r="H24" s="18">
        <v>8.0</v>
      </c>
      <c r="I24" s="18" t="s">
        <v>147</v>
      </c>
      <c r="J24" s="18" t="s">
        <v>33</v>
      </c>
      <c r="L24" s="13" t="str">
        <f>IFERROR(__xludf.DUMMYFUNCTION("IF(REGEXMATCH($B24,L$1),$D24,"""")"),"")</f>
        <v/>
      </c>
      <c r="M24" s="13" t="str">
        <f>IFERROR(__xludf.DUMMYFUNCTION("IF(REGEXMATCH($B24,M$1),$D24,"""")"),"")</f>
        <v/>
      </c>
      <c r="N24" s="13" t="str">
        <f>IFERROR(__xludf.DUMMYFUNCTION("IF(REGEXMATCH($B24,N$1),$D24,"""")"),"")</f>
        <v/>
      </c>
      <c r="O24" s="13" t="str">
        <f>IFERROR(__xludf.DUMMYFUNCTION("IF(REGEXMATCH($B24,O$1),$D24,"""")"),"")</f>
        <v/>
      </c>
      <c r="P24" s="13" t="str">
        <f>IFERROR(__xludf.DUMMYFUNCTION("IF(REGEXMATCH($B24,P$1),$D24,"""")"),"Angel Construct")</f>
        <v>Angel Construct</v>
      </c>
      <c r="Q24" s="13">
        <f>IFERROR(__xludf.DUMMYFUNCTION("IF($A24="""","""",LEN(REGEXREPLACE($I24,"",\s?"","""")))"),7.0)</f>
        <v>7</v>
      </c>
      <c r="S24" s="13"/>
      <c r="T24" s="13"/>
      <c r="U24" s="13"/>
      <c r="V24" s="13"/>
      <c r="W24" s="13"/>
      <c r="X24" s="13"/>
      <c r="Y24" s="13"/>
      <c r="Z24" s="13"/>
      <c r="AA24" s="13"/>
      <c r="AB24" s="13"/>
    </row>
    <row r="25">
      <c r="A25" s="10" t="s">
        <v>148</v>
      </c>
      <c r="B25" s="10" t="s">
        <v>15</v>
      </c>
      <c r="C25" s="11">
        <v>1.0</v>
      </c>
      <c r="D25" s="11" t="s">
        <v>139</v>
      </c>
      <c r="E25" s="10" t="s">
        <v>149</v>
      </c>
      <c r="F25" s="10" t="str">
        <f>IFERROR(__xludf.DUMMYFUNCTION("IF(REGEXMATCH($E25,""Wizard""),""Wizard "","""")&amp;IF(REGEXMATCH($E25,""Construct""),""Construct "","""")&amp;IF(REGEXMATCH($E25,""Insect""),""Insect "","""")&amp;IF(REGEXMATCH($E25,""Dragon""),""Dragon "","""")&amp;IF(REGEXMATCH($E25,""Human""),""Human "","""")&amp;IF(REG"&amp;"EXMATCH($E25,""Hunter""),""Hunter "","""")&amp;IF(REGEXMATCH($E25,""Animal""),""Animal "","""")&amp;IF(REGEXMATCH($E25,""Undead""),""Undead "","""")&amp;IF(REGEXMATCH($E25,""Plant""),""Plant "","""")&amp;IF(REGEXMATCH($E25,""Dinosaur""),""Dinosaur "","""")&amp;IF(REGEXMATCH("&amp;"$E25,""Warrior""),""Warrior "","""")&amp;IF(REGEXMATCH($E25,""Spirit""),""Spirit "","""")&amp;IF(REGEXMATCH($E25,""Angel""),""Angel "","""")&amp;IF(REGEXMATCH($E25,""Demon""),""Demon "","""")&amp;IF(REGEXMATCH($E25,""Divine""),""Divine "","""")&amp;IF(REGEXMATCH($E25,""Eleme"&amp;"ntal""),""Elemental "","""")&amp;IF(REGEXMATCH($E25,""Nature""),""Nature "","""")&amp;IF(REGEXMATCH($E25,""Mortal""),""Mortal "","""")&amp;IF(REGEXMATCH($E25,""Void""),""Void "","""")&amp;IF(REGEXMATCH($E25,""Unearth|Ambush|Ritual|unearth|ambush|ritual""),""Unearth "","""&amp;""")&amp;IF(REGEXMATCH($E25,""Unleash|Crystallize|all realms|Crystalborn|crystallize""),""Ramp "","""")&amp;IF(REGEXMATCH($E25,""Demon""),""Demon "","""")&amp;IF(REGEXMATCH($E25,""bury|buries|Bury|Buries|Cleanse|puts a Unit|trail|Trail""),""Control "","""")&amp;IF(REGEXMA"&amp;"TCH($E25,""Bounce|Return|Copy|bounce|return|copy""),""Copy "","""")&amp;IF(REGEXMATCH($E25,""conquer|Conquer|leading in lanes|lead by""),""Aggro "","""")&amp;IF(REGEXMATCH($E25,""Ascend|ascend""),""Ascend "","""")&amp;IF(REGEXMATCH($E25,""Bury .+ Crystal|.*crystal.*b"&amp;"ury""),""Empty-Crystal"","""")&amp;IF(REGEXMATCH($E25,""Move|move""),""Move"","""")"),"")</f>
        <v/>
      </c>
      <c r="G25" s="12" t="s">
        <v>150</v>
      </c>
      <c r="H25" s="11">
        <v>0.0</v>
      </c>
      <c r="I25" s="11" t="s">
        <v>63</v>
      </c>
      <c r="J25" s="11" t="s">
        <v>33</v>
      </c>
      <c r="L25" s="13" t="str">
        <f>IFERROR(__xludf.DUMMYFUNCTION("IF(REGEXMATCH($B25,L$1),$D25,"""")"),"")</f>
        <v/>
      </c>
      <c r="M25" s="13" t="str">
        <f>IFERROR(__xludf.DUMMYFUNCTION("IF(REGEXMATCH($B25,M$1),$D25,"""")"),"")</f>
        <v/>
      </c>
      <c r="N25" s="13" t="str">
        <f>IFERROR(__xludf.DUMMYFUNCTION("IF(REGEXMATCH($B25,N$1),$D25,"""")"),"")</f>
        <v/>
      </c>
      <c r="O25" s="13" t="str">
        <f>IFERROR(__xludf.DUMMYFUNCTION("IF(REGEXMATCH($B25,O$1),$D25,"""")"),"")</f>
        <v/>
      </c>
      <c r="P25" s="13" t="str">
        <f>IFERROR(__xludf.DUMMYFUNCTION("IF(REGEXMATCH($B25,P$1),$D25,"""")"),"Animal")</f>
        <v>Animal</v>
      </c>
      <c r="Q25" s="13">
        <f>IFERROR(__xludf.DUMMYFUNCTION("IF($A25="""","""",LEN(REGEXREPLACE($I25,"",\s?"","""")))"),3.0)</f>
        <v>3</v>
      </c>
      <c r="R25" s="14" t="s">
        <v>151</v>
      </c>
      <c r="S25" s="15" t="s">
        <v>152</v>
      </c>
      <c r="T25" s="13"/>
      <c r="U25" s="13"/>
      <c r="V25" s="13"/>
      <c r="W25" s="13"/>
      <c r="X25" s="13"/>
      <c r="Y25" s="13"/>
      <c r="Z25" s="13"/>
      <c r="AA25" s="13"/>
      <c r="AB25" s="13"/>
    </row>
    <row r="26" hidden="1">
      <c r="A26" s="31" t="s">
        <v>153</v>
      </c>
      <c r="B26" s="17" t="s">
        <v>15</v>
      </c>
      <c r="C26" s="18">
        <v>2.0</v>
      </c>
      <c r="D26" s="18" t="s">
        <v>154</v>
      </c>
      <c r="E26" s="19" t="s">
        <v>155</v>
      </c>
      <c r="F26" s="10" t="str">
        <f>IFERROR(__xludf.DUMMYFUNCTION("IF(REGEXMATCH($E26,""Wizard""),""Wizard "","""")&amp;IF(REGEXMATCH($E26,""Construct""),""Construct "","""")&amp;IF(REGEXMATCH($E26,""Insect""),""Insect "","""")&amp;IF(REGEXMATCH($E26,""Dragon""),""Dragon "","""")&amp;IF(REGEXMATCH($E26,""Human""),""Human "","""")&amp;IF(REG"&amp;"EXMATCH($E26,""Hunter""),""Hunter "","""")&amp;IF(REGEXMATCH($E26,""Animal""),""Animal "","""")&amp;IF(REGEXMATCH($E26,""Undead""),""Undead "","""")&amp;IF(REGEXMATCH($E26,""Plant""),""Plant "","""")&amp;IF(REGEXMATCH($E26,""Dinosaur""),""Dinosaur "","""")&amp;IF(REGEXMATCH("&amp;"$E26,""Warrior""),""Warrior "","""")&amp;IF(REGEXMATCH($E26,""Spirit""),""Spirit "","""")&amp;IF(REGEXMATCH($E26,""Angel""),""Angel "","""")&amp;IF(REGEXMATCH($E26,""Demon""),""Demon "","""")&amp;IF(REGEXMATCH($E26,""Divine""),""Divine "","""")&amp;IF(REGEXMATCH($E26,""Eleme"&amp;"ntal""),""Elemental "","""")&amp;IF(REGEXMATCH($E26,""Nature""),""Nature "","""")&amp;IF(REGEXMATCH($E26,""Mortal""),""Mortal "","""")&amp;IF(REGEXMATCH($E26,""Void""),""Void "","""")&amp;IF(REGEXMATCH($E26,""Unearth|Ambush|Ritual|unearth|ambush|ritual""),""Unearth "","""&amp;""")&amp;IF(REGEXMATCH($E26,""Unleash|Crystallize|all realms|Crystalborn|crystallize""),""Ramp "","""")&amp;IF(REGEXMATCH($E26,""Demon""),""Demon "","""")&amp;IF(REGEXMATCH($E26,""bury|buries|Bury|Buries|Cleanse|puts a Unit|trail|Trail""),""Control "","""")&amp;IF(REGEXMA"&amp;"TCH($E26,""Bounce|Return|Copy|bounce|return|copy""),""Copy "","""")&amp;IF(REGEXMATCH($E26,""conquer|Conquer|leading in lanes|lead by""),""Aggro "","""")&amp;IF(REGEXMATCH($E26,""Ascend|ascend""),""Ascend "","""")&amp;IF(REGEXMATCH($E26,""Bury .+ Crystal|.*crystal.*b"&amp;"ury""),""Empty-Crystal"","""")&amp;IF(REGEXMATCH($E26,""Move|move""),""Move"","""")"),"")</f>
        <v/>
      </c>
      <c r="G26" s="20" t="s">
        <v>156</v>
      </c>
      <c r="H26" s="18">
        <v>2.0</v>
      </c>
      <c r="I26" s="18" t="s">
        <v>121</v>
      </c>
      <c r="J26" s="18" t="s">
        <v>50</v>
      </c>
      <c r="L26" s="13" t="str">
        <f>IFERROR(__xludf.DUMMYFUNCTION("IF(REGEXMATCH($B26,L$1),$D26,"""")"),"")</f>
        <v/>
      </c>
      <c r="M26" s="13" t="str">
        <f>IFERROR(__xludf.DUMMYFUNCTION("IF(REGEXMATCH($B26,M$1),$D26,"""")"),"")</f>
        <v/>
      </c>
      <c r="N26" s="13" t="str">
        <f>IFERROR(__xludf.DUMMYFUNCTION("IF(REGEXMATCH($B26,N$1),$D26,"""")"),"")</f>
        <v/>
      </c>
      <c r="O26" s="13" t="str">
        <f>IFERROR(__xludf.DUMMYFUNCTION("IF(REGEXMATCH($B26,O$1),$D26,"""")"),"")</f>
        <v/>
      </c>
      <c r="P26" s="13" t="str">
        <f>IFERROR(__xludf.DUMMYFUNCTION("IF(REGEXMATCH($B26,P$1),$D26,"""")"),"Animal Spirit")</f>
        <v>Animal Spirit</v>
      </c>
      <c r="Q26" s="13">
        <f>IFERROR(__xludf.DUMMYFUNCTION("IF($A26="""","""",LEN(REGEXREPLACE($I26,"",\s?"","""")))"),2.0)</f>
        <v>2</v>
      </c>
      <c r="S26" s="13"/>
      <c r="T26" s="13"/>
      <c r="U26" s="13"/>
      <c r="V26" s="13"/>
      <c r="W26" s="13"/>
      <c r="X26" s="13"/>
      <c r="Y26" s="13"/>
      <c r="Z26" s="13"/>
      <c r="AA26" s="13"/>
      <c r="AB26" s="13"/>
    </row>
    <row r="27">
      <c r="A27" s="10" t="s">
        <v>157</v>
      </c>
      <c r="B27" s="10" t="s">
        <v>15</v>
      </c>
      <c r="C27" s="11">
        <v>1.0</v>
      </c>
      <c r="D27" s="11" t="s">
        <v>158</v>
      </c>
      <c r="E27" s="10" t="s">
        <v>159</v>
      </c>
      <c r="F27" s="10" t="str">
        <f>IFERROR(__xludf.DUMMYFUNCTION("IF(REGEXMATCH($E27,""Wizard""),""Wizard "","""")&amp;IF(REGEXMATCH($E27,""Construct""),""Construct "","""")&amp;IF(REGEXMATCH($E27,""Insect""),""Insect "","""")&amp;IF(REGEXMATCH($E27,""Dragon""),""Dragon "","""")&amp;IF(REGEXMATCH($E27,""Human""),""Human "","""")&amp;IF(REG"&amp;"EXMATCH($E27,""Hunter""),""Hunter "","""")&amp;IF(REGEXMATCH($E27,""Animal""),""Animal "","""")&amp;IF(REGEXMATCH($E27,""Undead""),""Undead "","""")&amp;IF(REGEXMATCH($E27,""Plant""),""Plant "","""")&amp;IF(REGEXMATCH($E27,""Dinosaur""),""Dinosaur "","""")&amp;IF(REGEXMATCH("&amp;"$E27,""Warrior""),""Warrior "","""")&amp;IF(REGEXMATCH($E27,""Spirit""),""Spirit "","""")&amp;IF(REGEXMATCH($E27,""Angel""),""Angel "","""")&amp;IF(REGEXMATCH($E27,""Demon""),""Demon "","""")&amp;IF(REGEXMATCH($E27,""Divine""),""Divine "","""")&amp;IF(REGEXMATCH($E27,""Eleme"&amp;"ntal""),""Elemental "","""")&amp;IF(REGEXMATCH($E27,""Nature""),""Nature "","""")&amp;IF(REGEXMATCH($E27,""Mortal""),""Mortal "","""")&amp;IF(REGEXMATCH($E27,""Void""),""Void "","""")&amp;IF(REGEXMATCH($E27,""Unearth|Ambush|Ritual|unearth|ambush|ritual""),""Unearth "","""&amp;""")&amp;IF(REGEXMATCH($E27,""Unleash|Crystallize|all realms|Crystalborn|crystallize""),""Ramp "","""")&amp;IF(REGEXMATCH($E27,""Demon""),""Demon "","""")&amp;IF(REGEXMATCH($E27,""bury|buries|Bury|Buries|Cleanse|puts a Unit|trail|Trail""),""Control "","""")&amp;IF(REGEXMA"&amp;"TCH($E27,""Bounce|Return|Copy|bounce|return|copy""),""Copy "","""")&amp;IF(REGEXMATCH($E27,""conquer|Conquer|leading in lanes|lead by""),""Aggro "","""")&amp;IF(REGEXMATCH($E27,""Ascend|ascend""),""Ascend "","""")&amp;IF(REGEXMATCH($E27,""Bury .+ Crystal|.*crystal.*b"&amp;"ury""),""Empty-Crystal"","""")&amp;IF(REGEXMATCH($E27,""Move|move""),""Move"","""")"),"Ramp Control ")</f>
        <v>Ramp Control </v>
      </c>
      <c r="G27" s="12" t="s">
        <v>160</v>
      </c>
      <c r="H27" s="11">
        <v>2.0</v>
      </c>
      <c r="I27" s="11" t="s">
        <v>121</v>
      </c>
      <c r="J27" s="11" t="s">
        <v>42</v>
      </c>
      <c r="L27" s="13" t="str">
        <f>IFERROR(__xludf.DUMMYFUNCTION("IF(REGEXMATCH($B27,L$1),$D27,"""")"),"")</f>
        <v/>
      </c>
      <c r="M27" s="13" t="str">
        <f>IFERROR(__xludf.DUMMYFUNCTION("IF(REGEXMATCH($B27,M$1),$D27,"""")"),"")</f>
        <v/>
      </c>
      <c r="N27" s="13" t="str">
        <f>IFERROR(__xludf.DUMMYFUNCTION("IF(REGEXMATCH($B27,N$1),$D27,"""")"),"")</f>
        <v/>
      </c>
      <c r="O27" s="13" t="str">
        <f>IFERROR(__xludf.DUMMYFUNCTION("IF(REGEXMATCH($B27,O$1),$D27,"""")"),"")</f>
        <v/>
      </c>
      <c r="P27" s="13" t="str">
        <f>IFERROR(__xludf.DUMMYFUNCTION("IF(REGEXMATCH($B27,P$1),$D27,"""")"),"Animal Construct")</f>
        <v>Animal Construct</v>
      </c>
      <c r="Q27" s="13">
        <f>IFERROR(__xludf.DUMMYFUNCTION("IF($A27="""","""",LEN(REGEXREPLACE($I27,"",\s?"","""")))"),2.0)</f>
        <v>2</v>
      </c>
      <c r="R27" s="14" t="s">
        <v>161</v>
      </c>
      <c r="S27" s="15" t="s">
        <v>162</v>
      </c>
      <c r="T27" s="13"/>
      <c r="U27" s="13"/>
      <c r="V27" s="13"/>
      <c r="W27" s="13"/>
      <c r="X27" s="13"/>
      <c r="Y27" s="13"/>
      <c r="Z27" s="13"/>
      <c r="AA27" s="13"/>
      <c r="AB27" s="13"/>
    </row>
    <row r="28">
      <c r="A28" s="10" t="s">
        <v>163</v>
      </c>
      <c r="B28" s="10" t="s">
        <v>15</v>
      </c>
      <c r="C28" s="11">
        <v>1.0</v>
      </c>
      <c r="D28" s="11" t="s">
        <v>158</v>
      </c>
      <c r="E28" s="10" t="s">
        <v>164</v>
      </c>
      <c r="F28" s="10" t="str">
        <f>IFERROR(__xludf.DUMMYFUNCTION("IF(REGEXMATCH($E28,""Wizard""),""Wizard "","""")&amp;IF(REGEXMATCH($E28,""Construct""),""Construct "","""")&amp;IF(REGEXMATCH($E28,""Insect""),""Insect "","""")&amp;IF(REGEXMATCH($E28,""Dragon""),""Dragon "","""")&amp;IF(REGEXMATCH($E28,""Human""),""Human "","""")&amp;IF(REG"&amp;"EXMATCH($E28,""Hunter""),""Hunter "","""")&amp;IF(REGEXMATCH($E28,""Animal""),""Animal "","""")&amp;IF(REGEXMATCH($E28,""Undead""),""Undead "","""")&amp;IF(REGEXMATCH($E28,""Plant""),""Plant "","""")&amp;IF(REGEXMATCH($E28,""Dinosaur""),""Dinosaur "","""")&amp;IF(REGEXMATCH("&amp;"$E28,""Warrior""),""Warrior "","""")&amp;IF(REGEXMATCH($E28,""Spirit""),""Spirit "","""")&amp;IF(REGEXMATCH($E28,""Angel""),""Angel "","""")&amp;IF(REGEXMATCH($E28,""Demon""),""Demon "","""")&amp;IF(REGEXMATCH($E28,""Divine""),""Divine "","""")&amp;IF(REGEXMATCH($E28,""Eleme"&amp;"ntal""),""Elemental "","""")&amp;IF(REGEXMATCH($E28,""Nature""),""Nature "","""")&amp;IF(REGEXMATCH($E28,""Mortal""),""Mortal "","""")&amp;IF(REGEXMATCH($E28,""Void""),""Void "","""")&amp;IF(REGEXMATCH($E28,""Unearth|Ambush|Ritual|unearth|ambush|ritual""),""Unearth "","""&amp;""")&amp;IF(REGEXMATCH($E28,""Unleash|Crystallize|all realms|Crystalborn|crystallize""),""Ramp "","""")&amp;IF(REGEXMATCH($E28,""Demon""),""Demon "","""")&amp;IF(REGEXMATCH($E28,""bury|buries|Bury|Buries|Cleanse|puts a Unit|trail|Trail""),""Control "","""")&amp;IF(REGEXMA"&amp;"TCH($E28,""Bounce|Return|Copy|bounce|return|copy""),""Copy "","""")&amp;IF(REGEXMATCH($E28,""conquer|Conquer|leading in lanes|lead by""),""Aggro "","""")&amp;IF(REGEXMATCH($E28,""Ascend|ascend""),""Ascend "","""")&amp;IF(REGEXMATCH($E28,""Bury .+ Crystal|.*crystal.*b"&amp;"ury""),""Empty-Crystal"","""")&amp;IF(REGEXMATCH($E28,""Move|move""),""Move"","""")"),"Ramp Control ")</f>
        <v>Ramp Control </v>
      </c>
      <c r="G28" s="12" t="s">
        <v>165</v>
      </c>
      <c r="H28" s="11">
        <v>3.0</v>
      </c>
      <c r="I28" s="11" t="s">
        <v>49</v>
      </c>
      <c r="J28" s="18" t="s">
        <v>50</v>
      </c>
      <c r="L28" s="13" t="str">
        <f>IFERROR(__xludf.DUMMYFUNCTION("IF(REGEXMATCH($B28,L$1),$D28,"""")"),"")</f>
        <v/>
      </c>
      <c r="M28" s="13" t="str">
        <f>IFERROR(__xludf.DUMMYFUNCTION("IF(REGEXMATCH($B28,M$1),$D28,"""")"),"")</f>
        <v/>
      </c>
      <c r="N28" s="13" t="str">
        <f>IFERROR(__xludf.DUMMYFUNCTION("IF(REGEXMATCH($B28,N$1),$D28,"""")"),"")</f>
        <v/>
      </c>
      <c r="O28" s="13" t="str">
        <f>IFERROR(__xludf.DUMMYFUNCTION("IF(REGEXMATCH($B28,O$1),$D28,"""")"),"")</f>
        <v/>
      </c>
      <c r="P28" s="13" t="str">
        <f>IFERROR(__xludf.DUMMYFUNCTION("IF(REGEXMATCH($B28,P$1),$D28,"""")"),"Animal Construct")</f>
        <v>Animal Construct</v>
      </c>
      <c r="Q28" s="13">
        <f>IFERROR(__xludf.DUMMYFUNCTION("IF($A28="""","""",LEN(REGEXREPLACE($I28,"",\s?"","""")))"),3.0)</f>
        <v>3</v>
      </c>
      <c r="R28" s="14" t="s">
        <v>166</v>
      </c>
      <c r="S28" s="15" t="s">
        <v>167</v>
      </c>
      <c r="T28" s="13"/>
      <c r="U28" s="13"/>
      <c r="V28" s="13"/>
      <c r="W28" s="13"/>
      <c r="X28" s="13"/>
      <c r="Y28" s="13"/>
      <c r="Z28" s="13"/>
      <c r="AA28" s="13"/>
      <c r="AB28" s="13"/>
    </row>
    <row r="29">
      <c r="A29" s="10" t="s">
        <v>168</v>
      </c>
      <c r="B29" s="10" t="s">
        <v>15</v>
      </c>
      <c r="C29" s="11">
        <v>1.0</v>
      </c>
      <c r="D29" s="11" t="s">
        <v>158</v>
      </c>
      <c r="E29" s="10" t="s">
        <v>169</v>
      </c>
      <c r="F29" s="10" t="str">
        <f>IFERROR(__xludf.DUMMYFUNCTION("IF(REGEXMATCH($E29,""Wizard""),""Wizard "","""")&amp;IF(REGEXMATCH($E29,""Construct""),""Construct "","""")&amp;IF(REGEXMATCH($E29,""Insect""),""Insect "","""")&amp;IF(REGEXMATCH($E29,""Dragon""),""Dragon "","""")&amp;IF(REGEXMATCH($E29,""Human""),""Human "","""")&amp;IF(REG"&amp;"EXMATCH($E29,""Hunter""),""Hunter "","""")&amp;IF(REGEXMATCH($E29,""Animal""),""Animal "","""")&amp;IF(REGEXMATCH($E29,""Undead""),""Undead "","""")&amp;IF(REGEXMATCH($E29,""Plant""),""Plant "","""")&amp;IF(REGEXMATCH($E29,""Dinosaur""),""Dinosaur "","""")&amp;IF(REGEXMATCH("&amp;"$E29,""Warrior""),""Warrior "","""")&amp;IF(REGEXMATCH($E29,""Spirit""),""Spirit "","""")&amp;IF(REGEXMATCH($E29,""Angel""),""Angel "","""")&amp;IF(REGEXMATCH($E29,""Demon""),""Demon "","""")&amp;IF(REGEXMATCH($E29,""Divine""),""Divine "","""")&amp;IF(REGEXMATCH($E29,""Eleme"&amp;"ntal""),""Elemental "","""")&amp;IF(REGEXMATCH($E29,""Nature""),""Nature "","""")&amp;IF(REGEXMATCH($E29,""Mortal""),""Mortal "","""")&amp;IF(REGEXMATCH($E29,""Void""),""Void "","""")&amp;IF(REGEXMATCH($E29,""Unearth|Ambush|Ritual|unearth|ambush|ritual""),""Unearth "","""&amp;""")&amp;IF(REGEXMATCH($E29,""Unleash|Crystallize|all realms|Crystalborn|crystallize""),""Ramp "","""")&amp;IF(REGEXMATCH($E29,""Demon""),""Demon "","""")&amp;IF(REGEXMATCH($E29,""bury|buries|Bury|Buries|Cleanse|puts a Unit|trail|Trail""),""Control "","""")&amp;IF(REGEXMA"&amp;"TCH($E29,""Bounce|Return|Copy|bounce|return|copy""),""Copy "","""")&amp;IF(REGEXMATCH($E29,""conquer|Conquer|leading in lanes|lead by""),""Aggro "","""")&amp;IF(REGEXMATCH($E29,""Ascend|ascend""),""Ascend "","""")&amp;IF(REGEXMATCH($E29,""Bury .+ Crystal|.*crystal.*b"&amp;"ury""),""Empty-Crystal"","""")&amp;IF(REGEXMATCH($E29,""Move|move""),""Move"","""")"),"")</f>
        <v/>
      </c>
      <c r="G29" s="12" t="s">
        <v>170</v>
      </c>
      <c r="H29" s="11">
        <v>4.0</v>
      </c>
      <c r="I29" s="11" t="s">
        <v>87</v>
      </c>
      <c r="J29" s="11" t="s">
        <v>42</v>
      </c>
      <c r="L29" s="13" t="str">
        <f>IFERROR(__xludf.DUMMYFUNCTION("IF(REGEXMATCH($B29,L$1),$D29,"""")"),"")</f>
        <v/>
      </c>
      <c r="M29" s="13" t="str">
        <f>IFERROR(__xludf.DUMMYFUNCTION("IF(REGEXMATCH($B29,M$1),$D29,"""")"),"")</f>
        <v/>
      </c>
      <c r="N29" s="13" t="str">
        <f>IFERROR(__xludf.DUMMYFUNCTION("IF(REGEXMATCH($B29,N$1),$D29,"""")"),"")</f>
        <v/>
      </c>
      <c r="O29" s="13" t="str">
        <f>IFERROR(__xludf.DUMMYFUNCTION("IF(REGEXMATCH($B29,O$1),$D29,"""")"),"")</f>
        <v/>
      </c>
      <c r="P29" s="13" t="str">
        <f>IFERROR(__xludf.DUMMYFUNCTION("IF(REGEXMATCH($B29,P$1),$D29,"""")"),"Animal Construct")</f>
        <v>Animal Construct</v>
      </c>
      <c r="Q29" s="13">
        <f>IFERROR(__xludf.DUMMYFUNCTION("IF($A29="""","""",LEN(REGEXREPLACE($I29,"",\s?"","""")))"),4.0)</f>
        <v>4</v>
      </c>
      <c r="R29" s="14" t="s">
        <v>171</v>
      </c>
      <c r="S29" s="15" t="s">
        <v>172</v>
      </c>
      <c r="T29" s="13"/>
      <c r="U29" s="13"/>
      <c r="V29" s="13"/>
      <c r="W29" s="13"/>
      <c r="X29" s="13"/>
      <c r="Y29" s="13"/>
      <c r="Z29" s="13"/>
      <c r="AA29" s="13"/>
      <c r="AB29" s="13"/>
    </row>
    <row r="30" hidden="1">
      <c r="A30" s="32" t="s">
        <v>173</v>
      </c>
      <c r="B30" s="16" t="s">
        <v>15</v>
      </c>
      <c r="C30" s="11">
        <v>2.0</v>
      </c>
      <c r="D30" s="11" t="s">
        <v>125</v>
      </c>
      <c r="E30" s="10" t="s">
        <v>174</v>
      </c>
      <c r="F30" s="10" t="str">
        <f>IFERROR(__xludf.DUMMYFUNCTION("IF(REGEXMATCH($E30,""Wizard""),""Wizard "","""")&amp;IF(REGEXMATCH($E30,""Construct""),""Construct "","""")&amp;IF(REGEXMATCH($E30,""Insect""),""Insect "","""")&amp;IF(REGEXMATCH($E30,""Dragon""),""Dragon "","""")&amp;IF(REGEXMATCH($E30,""Human""),""Human "","""")&amp;IF(REG"&amp;"EXMATCH($E30,""Hunter""),""Hunter "","""")&amp;IF(REGEXMATCH($E30,""Animal""),""Animal "","""")&amp;IF(REGEXMATCH($E30,""Undead""),""Undead "","""")&amp;IF(REGEXMATCH($E30,""Plant""),""Plant "","""")&amp;IF(REGEXMATCH($E30,""Dinosaur""),""Dinosaur "","""")&amp;IF(REGEXMATCH("&amp;"$E30,""Warrior""),""Warrior "","""")&amp;IF(REGEXMATCH($E30,""Spirit""),""Spirit "","""")&amp;IF(REGEXMATCH($E30,""Angel""),""Angel "","""")&amp;IF(REGEXMATCH($E30,""Demon""),""Demon "","""")&amp;IF(REGEXMATCH($E30,""Divine""),""Divine "","""")&amp;IF(REGEXMATCH($E30,""Eleme"&amp;"ntal""),""Elemental "","""")&amp;IF(REGEXMATCH($E30,""Nature""),""Nature "","""")&amp;IF(REGEXMATCH($E30,""Mortal""),""Mortal "","""")&amp;IF(REGEXMATCH($E30,""Void""),""Void "","""")&amp;IF(REGEXMATCH($E30,""Unearth|Ambush|Ritual|unearth|ambush|ritual""),""Unearth "","""&amp;""")&amp;IF(REGEXMATCH($E30,""Unleash|Crystallize|all realms|Crystalborn|crystallize""),""Ramp "","""")&amp;IF(REGEXMATCH($E30,""Demon""),""Demon "","""")&amp;IF(REGEXMATCH($E30,""bury|buries|Bury|Buries|Cleanse|puts a Unit|trail|Trail""),""Control "","""")&amp;IF(REGEXMA"&amp;"TCH($E30,""Bounce|Return|Copy|bounce|return|copy""),""Copy "","""")&amp;IF(REGEXMATCH($E30,""conquer|Conquer|leading in lanes|lead by""),""Aggro "","""")&amp;IF(REGEXMATCH($E30,""Ascend|ascend""),""Ascend "","""")&amp;IF(REGEXMATCH($E30,""Bury .+ Crystal|.*crystal.*b"&amp;"ury""),""Empty-Crystal"","""")&amp;IF(REGEXMATCH($E30,""Move|move""),""Move"","""")"),"Construct Ascend ")</f>
        <v>Construct Ascend </v>
      </c>
      <c r="G30" s="12" t="s">
        <v>40</v>
      </c>
      <c r="H30" s="11">
        <v>3.0</v>
      </c>
      <c r="I30" s="11" t="s">
        <v>87</v>
      </c>
      <c r="J30" s="11" t="s">
        <v>50</v>
      </c>
      <c r="L30" s="13" t="str">
        <f>IFERROR(__xludf.DUMMYFUNCTION("IF(REGEXMATCH($B30,L$1),$D30,"""")"),"")</f>
        <v/>
      </c>
      <c r="M30" s="13" t="str">
        <f>IFERROR(__xludf.DUMMYFUNCTION("IF(REGEXMATCH($B30,M$1),$D30,"""")"),"")</f>
        <v/>
      </c>
      <c r="N30" s="13" t="str">
        <f>IFERROR(__xludf.DUMMYFUNCTION("IF(REGEXMATCH($B30,N$1),$D30,"""")"),"")</f>
        <v/>
      </c>
      <c r="O30" s="13" t="str">
        <f>IFERROR(__xludf.DUMMYFUNCTION("IF(REGEXMATCH($B30,O$1),$D30,"""")"),"")</f>
        <v/>
      </c>
      <c r="P30" s="13" t="str">
        <f>IFERROR(__xludf.DUMMYFUNCTION("IF(REGEXMATCH($B30,P$1),$D30,"""")"),"Construct")</f>
        <v>Construct</v>
      </c>
      <c r="Q30" s="13">
        <f>IFERROR(__xludf.DUMMYFUNCTION("IF($A30="""","""",LEN(REGEXREPLACE($I30,"",\s?"","""")))"),4.0)</f>
        <v>4</v>
      </c>
      <c r="S30" s="13"/>
      <c r="T30" s="13"/>
      <c r="U30" s="13"/>
      <c r="V30" s="13"/>
      <c r="W30" s="13"/>
      <c r="X30" s="13"/>
      <c r="Y30" s="13"/>
      <c r="Z30" s="13"/>
      <c r="AA30" s="13"/>
      <c r="AB30" s="13"/>
    </row>
    <row r="31" hidden="1">
      <c r="A31" s="19" t="s">
        <v>175</v>
      </c>
      <c r="B31" s="16" t="s">
        <v>15</v>
      </c>
      <c r="C31" s="11">
        <v>2.0</v>
      </c>
      <c r="D31" s="18" t="s">
        <v>176</v>
      </c>
      <c r="E31" s="19" t="s">
        <v>177</v>
      </c>
      <c r="F31" s="10" t="str">
        <f>IFERROR(__xludf.DUMMYFUNCTION("IF(REGEXMATCH($E31,""Wizard""),""Wizard "","""")&amp;IF(REGEXMATCH($E31,""Construct""),""Construct "","""")&amp;IF(REGEXMATCH($E31,""Insect""),""Insect "","""")&amp;IF(REGEXMATCH($E31,""Dragon""),""Dragon "","""")&amp;IF(REGEXMATCH($E31,""Human""),""Human "","""")&amp;IF(REG"&amp;"EXMATCH($E31,""Hunter""),""Hunter "","""")&amp;IF(REGEXMATCH($E31,""Animal""),""Animal "","""")&amp;IF(REGEXMATCH($E31,""Undead""),""Undead "","""")&amp;IF(REGEXMATCH($E31,""Plant""),""Plant "","""")&amp;IF(REGEXMATCH($E31,""Dinosaur""),""Dinosaur "","""")&amp;IF(REGEXMATCH("&amp;"$E31,""Warrior""),""Warrior "","""")&amp;IF(REGEXMATCH($E31,""Spirit""),""Spirit "","""")&amp;IF(REGEXMATCH($E31,""Angel""),""Angel "","""")&amp;IF(REGEXMATCH($E31,""Demon""),""Demon "","""")&amp;IF(REGEXMATCH($E31,""Divine""),""Divine "","""")&amp;IF(REGEXMATCH($E31,""Eleme"&amp;"ntal""),""Elemental "","""")&amp;IF(REGEXMATCH($E31,""Nature""),""Nature "","""")&amp;IF(REGEXMATCH($E31,""Mortal""),""Mortal "","""")&amp;IF(REGEXMATCH($E31,""Void""),""Void "","""")&amp;IF(REGEXMATCH($E31,""Unearth|Ambush|Ritual|unearth|ambush|ritual""),""Unearth "","""&amp;""")&amp;IF(REGEXMATCH($E31,""Unleash|Crystallize|all realms|Crystalborn|crystallize""),""Ramp "","""")&amp;IF(REGEXMATCH($E31,""Demon""),""Demon "","""")&amp;IF(REGEXMATCH($E31,""bury|buries|Bury|Buries|Cleanse|puts a Unit|trail|Trail""),""Control "","""")&amp;IF(REGEXMA"&amp;"TCH($E31,""Bounce|Return|Copy|bounce|return|copy""),""Copy "","""")&amp;IF(REGEXMATCH($E31,""conquer|Conquer|leading in lanes|lead by""),""Aggro "","""")&amp;IF(REGEXMATCH($E31,""Ascend|ascend""),""Ascend "","""")&amp;IF(REGEXMATCH($E31,""Bury .+ Crystal|.*crystal.*b"&amp;"ury""),""Empty-Crystal"","""")&amp;IF(REGEXMATCH($E31,""Move|move""),""Move"","""")"),"Ramp Control Ascend ")</f>
        <v>Ramp Control Ascend </v>
      </c>
      <c r="G31" s="20" t="s">
        <v>178</v>
      </c>
      <c r="H31" s="18">
        <v>5.0</v>
      </c>
      <c r="I31" s="18" t="s">
        <v>32</v>
      </c>
      <c r="J31" s="18" t="s">
        <v>50</v>
      </c>
      <c r="L31" s="13" t="str">
        <f>IFERROR(__xludf.DUMMYFUNCTION("IF(REGEXMATCH($B31,L$1),$D31,"""")"),"")</f>
        <v/>
      </c>
      <c r="M31" s="13" t="str">
        <f>IFERROR(__xludf.DUMMYFUNCTION("IF(REGEXMATCH($B31,M$1),$D31,"""")"),"")</f>
        <v/>
      </c>
      <c r="N31" s="13" t="str">
        <f>IFERROR(__xludf.DUMMYFUNCTION("IF(REGEXMATCH($B31,N$1),$D31,"""")"),"")</f>
        <v/>
      </c>
      <c r="O31" s="13" t="str">
        <f>IFERROR(__xludf.DUMMYFUNCTION("IF(REGEXMATCH($B31,O$1),$D31,"""")"),"")</f>
        <v/>
      </c>
      <c r="P31" s="13" t="str">
        <f>IFERROR(__xludf.DUMMYFUNCTION("IF(REGEXMATCH($B31,P$1),$D31,"""")"),"Construct Insect")</f>
        <v>Construct Insect</v>
      </c>
      <c r="Q31" s="13">
        <f>IFERROR(__xludf.DUMMYFUNCTION("IF($A31="""","""",LEN(REGEXREPLACE($I31,"",\s?"","""")))"),5.0)</f>
        <v>5</v>
      </c>
      <c r="S31" s="13"/>
      <c r="T31" s="13"/>
      <c r="U31" s="13"/>
      <c r="V31" s="13"/>
      <c r="W31" s="13"/>
      <c r="X31" s="13"/>
      <c r="Y31" s="13"/>
      <c r="Z31" s="13"/>
      <c r="AA31" s="13"/>
      <c r="AB31" s="13"/>
    </row>
    <row r="32" hidden="1">
      <c r="A32" s="31" t="s">
        <v>179</v>
      </c>
      <c r="B32" s="17" t="s">
        <v>15</v>
      </c>
      <c r="C32" s="18">
        <v>2.0</v>
      </c>
      <c r="D32" s="18" t="s">
        <v>180</v>
      </c>
      <c r="E32" s="19" t="s">
        <v>181</v>
      </c>
      <c r="F32" s="10" t="str">
        <f>IFERROR(__xludf.DUMMYFUNCTION("IF(REGEXMATCH($E32,""Wizard""),""Wizard "","""")&amp;IF(REGEXMATCH($E32,""Construct""),""Construct "","""")&amp;IF(REGEXMATCH($E32,""Insect""),""Insect "","""")&amp;IF(REGEXMATCH($E32,""Dragon""),""Dragon "","""")&amp;IF(REGEXMATCH($E32,""Human""),""Human "","""")&amp;IF(REG"&amp;"EXMATCH($E32,""Hunter""),""Hunter "","""")&amp;IF(REGEXMATCH($E32,""Animal""),""Animal "","""")&amp;IF(REGEXMATCH($E32,""Undead""),""Undead "","""")&amp;IF(REGEXMATCH($E32,""Plant""),""Plant "","""")&amp;IF(REGEXMATCH($E32,""Dinosaur""),""Dinosaur "","""")&amp;IF(REGEXMATCH("&amp;"$E32,""Warrior""),""Warrior "","""")&amp;IF(REGEXMATCH($E32,""Spirit""),""Spirit "","""")&amp;IF(REGEXMATCH($E32,""Angel""),""Angel "","""")&amp;IF(REGEXMATCH($E32,""Demon""),""Demon "","""")&amp;IF(REGEXMATCH($E32,""Divine""),""Divine "","""")&amp;IF(REGEXMATCH($E32,""Eleme"&amp;"ntal""),""Elemental "","""")&amp;IF(REGEXMATCH($E32,""Nature""),""Nature "","""")&amp;IF(REGEXMATCH($E32,""Mortal""),""Mortal "","""")&amp;IF(REGEXMATCH($E32,""Void""),""Void "","""")&amp;IF(REGEXMATCH($E32,""Unearth|Ambush|Ritual|unearth|ambush|ritual""),""Unearth "","""&amp;""")&amp;IF(REGEXMATCH($E32,""Unleash|Crystallize|all realms|Crystalborn|crystallize""),""Ramp "","""")&amp;IF(REGEXMATCH($E32,""Demon""),""Demon "","""")&amp;IF(REGEXMATCH($E32,""bury|buries|Bury|Buries|Cleanse|puts a Unit|trail|Trail""),""Control "","""")&amp;IF(REGEXMA"&amp;"TCH($E32,""Bounce|Return|Copy|bounce|return|copy""),""Copy "","""")&amp;IF(REGEXMATCH($E32,""conquer|Conquer|leading in lanes|lead by""),""Aggro "","""")&amp;IF(REGEXMATCH($E32,""Ascend|ascend""),""Ascend "","""")&amp;IF(REGEXMATCH($E32,""Bury .+ Crystal|.*crystal.*b"&amp;"ury""),""Empty-Crystal"","""")&amp;IF(REGEXMATCH($E32,""Move|move""),""Move"","""")"),"")</f>
        <v/>
      </c>
      <c r="G32" s="20" t="s">
        <v>182</v>
      </c>
      <c r="H32" s="18">
        <v>2.0</v>
      </c>
      <c r="I32" s="18" t="s">
        <v>121</v>
      </c>
      <c r="J32" s="18" t="s">
        <v>42</v>
      </c>
      <c r="L32" s="13" t="str">
        <f>IFERROR(__xludf.DUMMYFUNCTION("IF(REGEXMATCH($B32,L$1),$D32,"""")"),"")</f>
        <v/>
      </c>
      <c r="M32" s="13" t="str">
        <f>IFERROR(__xludf.DUMMYFUNCTION("IF(REGEXMATCH($B32,M$1),$D32,"""")"),"")</f>
        <v/>
      </c>
      <c r="N32" s="13" t="str">
        <f>IFERROR(__xludf.DUMMYFUNCTION("IF(REGEXMATCH($B32,N$1),$D32,"""")"),"")</f>
        <v/>
      </c>
      <c r="O32" s="13" t="str">
        <f>IFERROR(__xludf.DUMMYFUNCTION("IF(REGEXMATCH($B32,O$1),$D32,"""")"),"")</f>
        <v/>
      </c>
      <c r="P32" s="13" t="str">
        <f>IFERROR(__xludf.DUMMYFUNCTION("IF(REGEXMATCH($B32,P$1),$D32,"""")"),"Crusader, Warrior")</f>
        <v>Crusader, Warrior</v>
      </c>
      <c r="Q32" s="13">
        <f>IFERROR(__xludf.DUMMYFUNCTION("IF($A32="""","""",LEN(REGEXREPLACE($I32,"",\s?"","""")))"),2.0)</f>
        <v>2</v>
      </c>
      <c r="S32" s="13"/>
      <c r="T32" s="13"/>
      <c r="U32" s="13"/>
      <c r="V32" s="13"/>
      <c r="W32" s="13"/>
      <c r="X32" s="13"/>
      <c r="Y32" s="13"/>
      <c r="Z32" s="13"/>
      <c r="AA32" s="13"/>
      <c r="AB32" s="13"/>
    </row>
    <row r="33" hidden="1">
      <c r="A33" s="19" t="s">
        <v>183</v>
      </c>
      <c r="B33" s="16" t="s">
        <v>15</v>
      </c>
      <c r="C33" s="11">
        <v>2.0</v>
      </c>
      <c r="D33" s="18" t="s">
        <v>44</v>
      </c>
      <c r="E33" s="19" t="s">
        <v>184</v>
      </c>
      <c r="F33" s="10" t="str">
        <f>IFERROR(__xludf.DUMMYFUNCTION("IF(REGEXMATCH($E33,""Wizard""),""Wizard "","""")&amp;IF(REGEXMATCH($E33,""Construct""),""Construct "","""")&amp;IF(REGEXMATCH($E33,""Insect""),""Insect "","""")&amp;IF(REGEXMATCH($E33,""Dragon""),""Dragon "","""")&amp;IF(REGEXMATCH($E33,""Human""),""Human "","""")&amp;IF(REG"&amp;"EXMATCH($E33,""Hunter""),""Hunter "","""")&amp;IF(REGEXMATCH($E33,""Animal""),""Animal "","""")&amp;IF(REGEXMATCH($E33,""Undead""),""Undead "","""")&amp;IF(REGEXMATCH($E33,""Plant""),""Plant "","""")&amp;IF(REGEXMATCH($E33,""Dinosaur""),""Dinosaur "","""")&amp;IF(REGEXMATCH("&amp;"$E33,""Warrior""),""Warrior "","""")&amp;IF(REGEXMATCH($E33,""Spirit""),""Spirit "","""")&amp;IF(REGEXMATCH($E33,""Angel""),""Angel "","""")&amp;IF(REGEXMATCH($E33,""Demon""),""Demon "","""")&amp;IF(REGEXMATCH($E33,""Divine""),""Divine "","""")&amp;IF(REGEXMATCH($E33,""Eleme"&amp;"ntal""),""Elemental "","""")&amp;IF(REGEXMATCH($E33,""Nature""),""Nature "","""")&amp;IF(REGEXMATCH($E33,""Mortal""),""Mortal "","""")&amp;IF(REGEXMATCH($E33,""Void""),""Void "","""")&amp;IF(REGEXMATCH($E33,""Unearth|Ambush|Ritual|unearth|ambush|ritual""),""Unearth "","""&amp;""")&amp;IF(REGEXMATCH($E33,""Unleash|Crystallize|all realms|Crystalborn|crystallize""),""Ramp "","""")&amp;IF(REGEXMATCH($E33,""Demon""),""Demon "","""")&amp;IF(REGEXMATCH($E33,""bury|buries|Bury|Buries|Cleanse|puts a Unit|trail|Trail""),""Control "","""")&amp;IF(REGEXMA"&amp;"TCH($E33,""Bounce|Return|Copy|bounce|return|copy""),""Copy "","""")&amp;IF(REGEXMATCH($E33,""conquer|Conquer|leading in lanes|lead by""),""Aggro "","""")&amp;IF(REGEXMATCH($E33,""Ascend|ascend""),""Ascend "","""")&amp;IF(REGEXMATCH($E33,""Bury .+ Crystal|.*crystal.*b"&amp;"ury""),""Empty-Crystal"","""")&amp;IF(REGEXMATCH($E33,""Move|move""),""Move"","""")"),"Ascend ")</f>
        <v>Ascend </v>
      </c>
      <c r="G33" s="20" t="s">
        <v>185</v>
      </c>
      <c r="H33" s="18">
        <v>1.0</v>
      </c>
      <c r="I33" s="18" t="s">
        <v>49</v>
      </c>
      <c r="J33" s="18" t="s">
        <v>42</v>
      </c>
      <c r="L33" s="13" t="str">
        <f>IFERROR(__xludf.DUMMYFUNCTION("IF(REGEXMATCH($B33,L$1),$D33,"""")"),"")</f>
        <v/>
      </c>
      <c r="M33" s="13" t="str">
        <f>IFERROR(__xludf.DUMMYFUNCTION("IF(REGEXMATCH($B33,M$1),$D33,"""")"),"")</f>
        <v/>
      </c>
      <c r="N33" s="13" t="str">
        <f>IFERROR(__xludf.DUMMYFUNCTION("IF(REGEXMATCH($B33,N$1),$D33,"""")"),"")</f>
        <v/>
      </c>
      <c r="O33" s="13" t="str">
        <f>IFERROR(__xludf.DUMMYFUNCTION("IF(REGEXMATCH($B33,O$1),$D33,"""")"),"")</f>
        <v/>
      </c>
      <c r="P33" s="13" t="str">
        <f>IFERROR(__xludf.DUMMYFUNCTION("IF(REGEXMATCH($B33,P$1),$D33,"""")"),"Human")</f>
        <v>Human</v>
      </c>
      <c r="Q33" s="13">
        <f>IFERROR(__xludf.DUMMYFUNCTION("IF($A33="""","""",LEN(REGEXREPLACE($I33,"",\s?"","""")))"),3.0)</f>
        <v>3</v>
      </c>
      <c r="S33" s="13"/>
      <c r="T33" s="13"/>
      <c r="U33" s="13"/>
      <c r="V33" s="13"/>
      <c r="W33" s="13"/>
      <c r="X33" s="13"/>
      <c r="Y33" s="13"/>
      <c r="Z33" s="13"/>
      <c r="AA33" s="13"/>
      <c r="AB33" s="13"/>
    </row>
    <row r="34" hidden="1">
      <c r="A34" s="10" t="s">
        <v>186</v>
      </c>
      <c r="B34" s="10" t="s">
        <v>187</v>
      </c>
      <c r="C34" s="11">
        <v>2.0</v>
      </c>
      <c r="D34" s="11" t="s">
        <v>154</v>
      </c>
      <c r="E34" s="10" t="s">
        <v>188</v>
      </c>
      <c r="F34" s="10" t="str">
        <f>IFERROR(__xludf.DUMMYFUNCTION("IF(REGEXMATCH($E34,""Wizard""),""Wizard "","""")&amp;IF(REGEXMATCH($E34,""Construct""),""Construct "","""")&amp;IF(REGEXMATCH($E34,""Insect""),""Insect "","""")&amp;IF(REGEXMATCH($E34,""Dragon""),""Dragon "","""")&amp;IF(REGEXMATCH($E34,""Human""),""Human "","""")&amp;IF(REG"&amp;"EXMATCH($E34,""Hunter""),""Hunter "","""")&amp;IF(REGEXMATCH($E34,""Animal""),""Animal "","""")&amp;IF(REGEXMATCH($E34,""Undead""),""Undead "","""")&amp;IF(REGEXMATCH($E34,""Plant""),""Plant "","""")&amp;IF(REGEXMATCH($E34,""Dinosaur""),""Dinosaur "","""")&amp;IF(REGEXMATCH("&amp;"$E34,""Warrior""),""Warrior "","""")&amp;IF(REGEXMATCH($E34,""Spirit""),""Spirit "","""")&amp;IF(REGEXMATCH($E34,""Angel""),""Angel "","""")&amp;IF(REGEXMATCH($E34,""Demon""),""Demon "","""")&amp;IF(REGEXMATCH($E34,""Divine""),""Divine "","""")&amp;IF(REGEXMATCH($E34,""Eleme"&amp;"ntal""),""Elemental "","""")&amp;IF(REGEXMATCH($E34,""Nature""),""Nature "","""")&amp;IF(REGEXMATCH($E34,""Mortal""),""Mortal "","""")&amp;IF(REGEXMATCH($E34,""Void""),""Void "","""")&amp;IF(REGEXMATCH($E34,""Unearth|Ambush|Ritual|unearth|ambush|ritual""),""Unearth "","""&amp;""")&amp;IF(REGEXMATCH($E34,""Unleash|Crystallize|all realms|Crystalborn|crystallize""),""Ramp "","""")&amp;IF(REGEXMATCH($E34,""Demon""),""Demon "","""")&amp;IF(REGEXMATCH($E34,""bury|buries|Bury|Buries|Cleanse|puts a Unit|trail|Trail""),""Control "","""")&amp;IF(REGEXMA"&amp;"TCH($E34,""Bounce|Return|Copy|bounce|return|copy""),""Copy "","""")&amp;IF(REGEXMATCH($E34,""conquer|Conquer|leading in lanes|lead by""),""Aggro "","""")&amp;IF(REGEXMATCH($E34,""Ascend|ascend""),""Ascend "","""")&amp;IF(REGEXMATCH($E34,""Bury .+ Crystal|.*crystal.*b"&amp;"ury""),""Empty-Crystal"","""")&amp;IF(REGEXMATCH($E34,""Move|move""),""Move"","""")"),"Control ")</f>
        <v>Control </v>
      </c>
      <c r="G34" s="12" t="s">
        <v>189</v>
      </c>
      <c r="H34" s="11">
        <v>7.0</v>
      </c>
      <c r="I34" s="11" t="s">
        <v>190</v>
      </c>
      <c r="J34" s="18" t="s">
        <v>33</v>
      </c>
      <c r="L34" s="13" t="str">
        <f>IFERROR(__xludf.DUMMYFUNCTION("IF(REGEXMATCH($B34,L$1),$D34,"""")"),"Animal Spirit")</f>
        <v>Animal Spirit</v>
      </c>
      <c r="M34" s="13" t="str">
        <f>IFERROR(__xludf.DUMMYFUNCTION("IF(REGEXMATCH($B34,M$1),$D34,"""")"),"")</f>
        <v/>
      </c>
      <c r="N34" s="13" t="str">
        <f>IFERROR(__xludf.DUMMYFUNCTION("IF(REGEXMATCH($B34,N$1),$D34,"""")"),"")</f>
        <v/>
      </c>
      <c r="O34" s="13" t="str">
        <f>IFERROR(__xludf.DUMMYFUNCTION("IF(REGEXMATCH($B34,O$1),$D34,"""")"),"")</f>
        <v/>
      </c>
      <c r="P34" s="13" t="str">
        <f>IFERROR(__xludf.DUMMYFUNCTION("IF(REGEXMATCH($B34,P$1),$D34,"""")"),"Animal Spirit")</f>
        <v>Animal Spirit</v>
      </c>
      <c r="Q34" s="13">
        <f>IFERROR(__xludf.DUMMYFUNCTION("IF($A34="""","""",LEN(REGEXREPLACE($I34,"",\s?"","""")))"),5.0)</f>
        <v>5</v>
      </c>
      <c r="S34" s="13"/>
      <c r="T34" s="13"/>
      <c r="U34" s="13"/>
      <c r="V34" s="13"/>
      <c r="W34" s="13"/>
      <c r="X34" s="13"/>
      <c r="Y34" s="13"/>
      <c r="Z34" s="13"/>
      <c r="AA34" s="13"/>
      <c r="AB34" s="13"/>
    </row>
    <row r="35" hidden="1">
      <c r="A35" s="29" t="s">
        <v>191</v>
      </c>
      <c r="B35" s="10" t="s">
        <v>187</v>
      </c>
      <c r="C35" s="11">
        <v>2.0</v>
      </c>
      <c r="D35" s="11" t="s">
        <v>131</v>
      </c>
      <c r="E35" s="10" t="s">
        <v>192</v>
      </c>
      <c r="F35" s="10" t="str">
        <f>IFERROR(__xludf.DUMMYFUNCTION("IF(REGEXMATCH($E35,""Wizard""),""Wizard "","""")&amp;IF(REGEXMATCH($E35,""Construct""),""Construct "","""")&amp;IF(REGEXMATCH($E35,""Insect""),""Insect "","""")&amp;IF(REGEXMATCH($E35,""Dragon""),""Dragon "","""")&amp;IF(REGEXMATCH($E35,""Human""),""Human "","""")&amp;IF(REG"&amp;"EXMATCH($E35,""Hunter""),""Hunter "","""")&amp;IF(REGEXMATCH($E35,""Animal""),""Animal "","""")&amp;IF(REGEXMATCH($E35,""Undead""),""Undead "","""")&amp;IF(REGEXMATCH($E35,""Plant""),""Plant "","""")&amp;IF(REGEXMATCH($E35,""Dinosaur""),""Dinosaur "","""")&amp;IF(REGEXMATCH("&amp;"$E35,""Warrior""),""Warrior "","""")&amp;IF(REGEXMATCH($E35,""Spirit""),""Spirit "","""")&amp;IF(REGEXMATCH($E35,""Angel""),""Angel "","""")&amp;IF(REGEXMATCH($E35,""Demon""),""Demon "","""")&amp;IF(REGEXMATCH($E35,""Divine""),""Divine "","""")&amp;IF(REGEXMATCH($E35,""Eleme"&amp;"ntal""),""Elemental "","""")&amp;IF(REGEXMATCH($E35,""Nature""),""Nature "","""")&amp;IF(REGEXMATCH($E35,""Mortal""),""Mortal "","""")&amp;IF(REGEXMATCH($E35,""Void""),""Void "","""")&amp;IF(REGEXMATCH($E35,""Unearth|Ambush|Ritual|unearth|ambush|ritual""),""Unearth "","""&amp;""")&amp;IF(REGEXMATCH($E35,""Unleash|Crystallize|all realms|Crystalborn|crystallize""),""Ramp "","""")&amp;IF(REGEXMATCH($E35,""Demon""),""Demon "","""")&amp;IF(REGEXMATCH($E35,""bury|buries|Bury|Buries|Cleanse|puts a Unit|trail|Trail""),""Control "","""")&amp;IF(REGEXMA"&amp;"TCH($E35,""Bounce|Return|Copy|bounce|return|copy""),""Copy "","""")&amp;IF(REGEXMATCH($E35,""conquer|Conquer|leading in lanes|lead by""),""Aggro "","""")&amp;IF(REGEXMATCH($E35,""Ascend|ascend""),""Ascend "","""")&amp;IF(REGEXMATCH($E35,""Bury .+ Crystal|.*crystal.*b"&amp;"ury""),""Empty-Crystal"","""")&amp;IF(REGEXMATCH($E35,""Move|move""),""Move"","""")"),"Ramp ")</f>
        <v>Ramp </v>
      </c>
      <c r="G35" s="12" t="s">
        <v>193</v>
      </c>
      <c r="H35" s="11">
        <v>4.0</v>
      </c>
      <c r="I35" s="11" t="s">
        <v>56</v>
      </c>
      <c r="J35" s="11" t="s">
        <v>50</v>
      </c>
      <c r="L35" s="13" t="str">
        <f>IFERROR(__xludf.DUMMYFUNCTION("IF(REGEXMATCH($B35,L$1),$D35,"""")"),"Angel Wizard")</f>
        <v>Angel Wizard</v>
      </c>
      <c r="M35" s="13" t="str">
        <f>IFERROR(__xludf.DUMMYFUNCTION("IF(REGEXMATCH($B35,M$1),$D35,"""")"),"")</f>
        <v/>
      </c>
      <c r="N35" s="13" t="str">
        <f>IFERROR(__xludf.DUMMYFUNCTION("IF(REGEXMATCH($B35,N$1),$D35,"""")"),"")</f>
        <v/>
      </c>
      <c r="O35" s="13" t="str">
        <f>IFERROR(__xludf.DUMMYFUNCTION("IF(REGEXMATCH($B35,O$1),$D35,"""")"),"")</f>
        <v/>
      </c>
      <c r="P35" s="13" t="str">
        <f>IFERROR(__xludf.DUMMYFUNCTION("IF(REGEXMATCH($B35,P$1),$D35,"""")"),"Angel Wizard")</f>
        <v>Angel Wizard</v>
      </c>
      <c r="Q35" s="13">
        <f>IFERROR(__xludf.DUMMYFUNCTION("IF($A35="""","""",LEN(REGEXREPLACE($I35,"",\s?"","""")))"),4.0)</f>
        <v>4</v>
      </c>
      <c r="S35" s="13"/>
      <c r="T35" s="13"/>
      <c r="U35" s="13"/>
      <c r="V35" s="13"/>
      <c r="W35" s="13"/>
      <c r="X35" s="13"/>
      <c r="Y35" s="13"/>
      <c r="Z35" s="13"/>
      <c r="AA35" s="13"/>
      <c r="AB35" s="13"/>
    </row>
    <row r="36" hidden="1">
      <c r="A36" s="19" t="s">
        <v>194</v>
      </c>
      <c r="B36" s="19" t="s">
        <v>187</v>
      </c>
      <c r="C36" s="18">
        <v>0.0</v>
      </c>
      <c r="D36" s="18" t="s">
        <v>195</v>
      </c>
      <c r="E36" s="19" t="s">
        <v>196</v>
      </c>
      <c r="F36" s="10" t="str">
        <f>IFERROR(__xludf.DUMMYFUNCTION("IF(REGEXMATCH($E36,""Wizard""),""Wizard "","""")&amp;IF(REGEXMATCH($E36,""Construct""),""Construct "","""")&amp;IF(REGEXMATCH($E36,""Insect""),""Insect "","""")&amp;IF(REGEXMATCH($E36,""Dragon""),""Dragon "","""")&amp;IF(REGEXMATCH($E36,""Human""),""Human "","""")&amp;IF(REG"&amp;"EXMATCH($E36,""Hunter""),""Hunter "","""")&amp;IF(REGEXMATCH($E36,""Animal""),""Animal "","""")&amp;IF(REGEXMATCH($E36,""Undead""),""Undead "","""")&amp;IF(REGEXMATCH($E36,""Plant""),""Plant "","""")&amp;IF(REGEXMATCH($E36,""Dinosaur""),""Dinosaur "","""")&amp;IF(REGEXMATCH("&amp;"$E36,""Warrior""),""Warrior "","""")&amp;IF(REGEXMATCH($E36,""Spirit""),""Spirit "","""")&amp;IF(REGEXMATCH($E36,""Angel""),""Angel "","""")&amp;IF(REGEXMATCH($E36,""Demon""),""Demon "","""")&amp;IF(REGEXMATCH($E36,""Divine""),""Divine "","""")&amp;IF(REGEXMATCH($E36,""Eleme"&amp;"ntal""),""Elemental "","""")&amp;IF(REGEXMATCH($E36,""Nature""),""Nature "","""")&amp;IF(REGEXMATCH($E36,""Mortal""),""Mortal "","""")&amp;IF(REGEXMATCH($E36,""Void""),""Void "","""")&amp;IF(REGEXMATCH($E36,""Unearth|Ambush|Ritual|unearth|ambush|ritual""),""Unearth "","""&amp;""")&amp;IF(REGEXMATCH($E36,""Unleash|Crystallize|all realms|Crystalborn|crystallize""),""Ramp "","""")&amp;IF(REGEXMATCH($E36,""Demon""),""Demon "","""")&amp;IF(REGEXMATCH($E36,""bury|buries|Bury|Buries|Cleanse|puts a Unit|trail|Trail""),""Control "","""")&amp;IF(REGEXMA"&amp;"TCH($E36,""Bounce|Return|Copy|bounce|return|copy""),""Copy "","""")&amp;IF(REGEXMATCH($E36,""conquer|Conquer|leading in lanes|lead by""),""Aggro "","""")&amp;IF(REGEXMATCH($E36,""Ascend|ascend""),""Ascend "","""")&amp;IF(REGEXMATCH($E36,""Bury .+ Crystal|.*crystal.*b"&amp;"ury""),""Empty-Crystal"","""")&amp;IF(REGEXMATCH($E36,""Move|move""),""Move"","""")"),"Unearth ")</f>
        <v>Unearth </v>
      </c>
      <c r="G36" s="20" t="s">
        <v>197</v>
      </c>
      <c r="H36" s="18">
        <v>4.0</v>
      </c>
      <c r="I36" s="18" t="s">
        <v>198</v>
      </c>
      <c r="J36" s="18" t="s">
        <v>50</v>
      </c>
      <c r="L36" s="13" t="str">
        <f>IFERROR(__xludf.DUMMYFUNCTION("IF(REGEXMATCH($B36,L$1),$D36,"""")"),"Animal Hunter")</f>
        <v>Animal Hunter</v>
      </c>
      <c r="M36" s="13" t="str">
        <f>IFERROR(__xludf.DUMMYFUNCTION("IF(REGEXMATCH($B36,M$1),$D36,"""")"),"")</f>
        <v/>
      </c>
      <c r="N36" s="13" t="str">
        <f>IFERROR(__xludf.DUMMYFUNCTION("IF(REGEXMATCH($B36,N$1),$D36,"""")"),"")</f>
        <v/>
      </c>
      <c r="O36" s="13" t="str">
        <f>IFERROR(__xludf.DUMMYFUNCTION("IF(REGEXMATCH($B36,O$1),$D36,"""")"),"")</f>
        <v/>
      </c>
      <c r="P36" s="13" t="str">
        <f>IFERROR(__xludf.DUMMYFUNCTION("IF(REGEXMATCH($B36,P$1),$D36,"""")"),"Animal Hunter")</f>
        <v>Animal Hunter</v>
      </c>
      <c r="Q36" s="13">
        <f>IFERROR(__xludf.DUMMYFUNCTION("IF($A36="""","""",LEN(REGEXREPLACE($I36,"",\s?"","""")))"),5.0)</f>
        <v>5</v>
      </c>
      <c r="S36" s="13"/>
      <c r="T36" s="13"/>
      <c r="U36" s="13"/>
      <c r="V36" s="13"/>
      <c r="W36" s="13"/>
      <c r="X36" s="13"/>
      <c r="Y36" s="13"/>
      <c r="Z36" s="13"/>
      <c r="AA36" s="13"/>
      <c r="AB36" s="13"/>
    </row>
    <row r="37" hidden="1">
      <c r="A37" s="19" t="s">
        <v>199</v>
      </c>
      <c r="B37" s="19" t="s">
        <v>187</v>
      </c>
      <c r="C37" s="18">
        <v>2.0</v>
      </c>
      <c r="D37" s="18" t="s">
        <v>101</v>
      </c>
      <c r="E37" s="19" t="s">
        <v>200</v>
      </c>
      <c r="F37" s="10" t="str">
        <f>IFERROR(__xludf.DUMMYFUNCTION("IF(REGEXMATCH($E37,""Wizard""),""Wizard "","""")&amp;IF(REGEXMATCH($E37,""Construct""),""Construct "","""")&amp;IF(REGEXMATCH($E37,""Insect""),""Insect "","""")&amp;IF(REGEXMATCH($E37,""Dragon""),""Dragon "","""")&amp;IF(REGEXMATCH($E37,""Human""),""Human "","""")&amp;IF(REG"&amp;"EXMATCH($E37,""Hunter""),""Hunter "","""")&amp;IF(REGEXMATCH($E37,""Animal""),""Animal "","""")&amp;IF(REGEXMATCH($E37,""Undead""),""Undead "","""")&amp;IF(REGEXMATCH($E37,""Plant""),""Plant "","""")&amp;IF(REGEXMATCH($E37,""Dinosaur""),""Dinosaur "","""")&amp;IF(REGEXMATCH("&amp;"$E37,""Warrior""),""Warrior "","""")&amp;IF(REGEXMATCH($E37,""Spirit""),""Spirit "","""")&amp;IF(REGEXMATCH($E37,""Angel""),""Angel "","""")&amp;IF(REGEXMATCH($E37,""Demon""),""Demon "","""")&amp;IF(REGEXMATCH($E37,""Divine""),""Divine "","""")&amp;IF(REGEXMATCH($E37,""Eleme"&amp;"ntal""),""Elemental "","""")&amp;IF(REGEXMATCH($E37,""Nature""),""Nature "","""")&amp;IF(REGEXMATCH($E37,""Mortal""),""Mortal "","""")&amp;IF(REGEXMATCH($E37,""Void""),""Void "","""")&amp;IF(REGEXMATCH($E37,""Unearth|Ambush|Ritual|unearth|ambush|ritual""),""Unearth "","""&amp;""")&amp;IF(REGEXMATCH($E37,""Unleash|Crystallize|all realms|Crystalborn|crystallize""),""Ramp "","""")&amp;IF(REGEXMATCH($E37,""Demon""),""Demon "","""")&amp;IF(REGEXMATCH($E37,""bury|buries|Bury|Buries|Cleanse|puts a Unit|trail|Trail""),""Control "","""")&amp;IF(REGEXMA"&amp;"TCH($E37,""Bounce|Return|Copy|bounce|return|copy""),""Copy "","""")&amp;IF(REGEXMATCH($E37,""conquer|Conquer|leading in lanes|lead by""),""Aggro "","""")&amp;IF(REGEXMATCH($E37,""Ascend|ascend""),""Ascend "","""")&amp;IF(REGEXMATCH($E37,""Bury .+ Crystal|.*crystal.*b"&amp;"ury""),""Empty-Crystal"","""")&amp;IF(REGEXMATCH($E37,""Move|move""),""Move"","""")"),"Spirit ")</f>
        <v>Spirit </v>
      </c>
      <c r="G37" s="20" t="s">
        <v>201</v>
      </c>
      <c r="H37" s="18">
        <v>6.0</v>
      </c>
      <c r="I37" s="18" t="s">
        <v>198</v>
      </c>
      <c r="J37" s="18" t="s">
        <v>50</v>
      </c>
      <c r="L37" s="13" t="str">
        <f>IFERROR(__xludf.DUMMYFUNCTION("IF(REGEXMATCH($B37,L$1),$D37,"""")"),"Angel Spirit")</f>
        <v>Angel Spirit</v>
      </c>
      <c r="M37" s="13" t="str">
        <f>IFERROR(__xludf.DUMMYFUNCTION("IF(REGEXMATCH($B37,M$1),$D37,"""")"),"")</f>
        <v/>
      </c>
      <c r="N37" s="13" t="str">
        <f>IFERROR(__xludf.DUMMYFUNCTION("IF(REGEXMATCH($B37,N$1),$D37,"""")"),"")</f>
        <v/>
      </c>
      <c r="O37" s="13" t="str">
        <f>IFERROR(__xludf.DUMMYFUNCTION("IF(REGEXMATCH($B37,O$1),$D37,"""")"),"")</f>
        <v/>
      </c>
      <c r="P37" s="13" t="str">
        <f>IFERROR(__xludf.DUMMYFUNCTION("IF(REGEXMATCH($B37,P$1),$D37,"""")"),"Angel Spirit")</f>
        <v>Angel Spirit</v>
      </c>
      <c r="Q37" s="13">
        <f>IFERROR(__xludf.DUMMYFUNCTION("IF($A37="""","""",LEN(REGEXREPLACE($I37,"",\s?"","""")))"),5.0)</f>
        <v>5</v>
      </c>
      <c r="S37" s="13"/>
      <c r="T37" s="13"/>
      <c r="U37" s="13"/>
      <c r="V37" s="13"/>
      <c r="W37" s="13"/>
      <c r="X37" s="13"/>
      <c r="Y37" s="13"/>
      <c r="Z37" s="13"/>
      <c r="AA37" s="13"/>
      <c r="AB37" s="13"/>
    </row>
    <row r="38">
      <c r="A38" s="10" t="s">
        <v>202</v>
      </c>
      <c r="B38" s="10" t="s">
        <v>15</v>
      </c>
      <c r="C38" s="11">
        <v>1.0</v>
      </c>
      <c r="D38" s="11" t="s">
        <v>203</v>
      </c>
      <c r="E38" s="10" t="s">
        <v>204</v>
      </c>
      <c r="F38" s="10" t="str">
        <f>IFERROR(__xludf.DUMMYFUNCTION("IF(REGEXMATCH($E38,""Wizard""),""Wizard "","""")&amp;IF(REGEXMATCH($E38,""Construct""),""Construct "","""")&amp;IF(REGEXMATCH($E38,""Insect""),""Insect "","""")&amp;IF(REGEXMATCH($E38,""Dragon""),""Dragon "","""")&amp;IF(REGEXMATCH($E38,""Human""),""Human "","""")&amp;IF(REG"&amp;"EXMATCH($E38,""Hunter""),""Hunter "","""")&amp;IF(REGEXMATCH($E38,""Animal""),""Animal "","""")&amp;IF(REGEXMATCH($E38,""Undead""),""Undead "","""")&amp;IF(REGEXMATCH($E38,""Plant""),""Plant "","""")&amp;IF(REGEXMATCH($E38,""Dinosaur""),""Dinosaur "","""")&amp;IF(REGEXMATCH("&amp;"$E38,""Warrior""),""Warrior "","""")&amp;IF(REGEXMATCH($E38,""Spirit""),""Spirit "","""")&amp;IF(REGEXMATCH($E38,""Angel""),""Angel "","""")&amp;IF(REGEXMATCH($E38,""Demon""),""Demon "","""")&amp;IF(REGEXMATCH($E38,""Divine""),""Divine "","""")&amp;IF(REGEXMATCH($E38,""Eleme"&amp;"ntal""),""Elemental "","""")&amp;IF(REGEXMATCH($E38,""Nature""),""Nature "","""")&amp;IF(REGEXMATCH($E38,""Mortal""),""Mortal "","""")&amp;IF(REGEXMATCH($E38,""Void""),""Void "","""")&amp;IF(REGEXMATCH($E38,""Unearth|Ambush|Ritual|unearth|ambush|ritual""),""Unearth "","""&amp;""")&amp;IF(REGEXMATCH($E38,""Unleash|Crystallize|all realms|Crystalborn|crystallize""),""Ramp "","""")&amp;IF(REGEXMATCH($E38,""Demon""),""Demon "","""")&amp;IF(REGEXMATCH($E38,""bury|buries|Bury|Buries|Cleanse|puts a Unit|trail|Trail""),""Control "","""")&amp;IF(REGEXMA"&amp;"TCH($E38,""Bounce|Return|Copy|bounce|return|copy""),""Copy "","""")&amp;IF(REGEXMATCH($E38,""conquer|Conquer|leading in lanes|lead by""),""Aggro "","""")&amp;IF(REGEXMATCH($E38,""Ascend|ascend""),""Ascend "","""")&amp;IF(REGEXMATCH($E38,""Bury .+ Crystal|.*crystal.*b"&amp;"ury""),""Empty-Crystal"","""")&amp;IF(REGEXMATCH($E38,""Move|move""),""Move"","""")"),"Unearth Aggro ")</f>
        <v>Unearth Aggro </v>
      </c>
      <c r="G38" s="12" t="s">
        <v>205</v>
      </c>
      <c r="H38" s="11">
        <v>6.0</v>
      </c>
      <c r="I38" s="11" t="s">
        <v>206</v>
      </c>
      <c r="J38" s="11" t="s">
        <v>42</v>
      </c>
      <c r="L38" s="13" t="str">
        <f>IFERROR(__xludf.DUMMYFUNCTION("IF(REGEXMATCH($B38,L$1),$D38,"""")"),"")</f>
        <v/>
      </c>
      <c r="M38" s="13" t="str">
        <f>IFERROR(__xludf.DUMMYFUNCTION("IF(REGEXMATCH($B38,M$1),$D38,"""")"),"")</f>
        <v/>
      </c>
      <c r="N38" s="13" t="str">
        <f>IFERROR(__xludf.DUMMYFUNCTION("IF(REGEXMATCH($B38,N$1),$D38,"""")"),"")</f>
        <v/>
      </c>
      <c r="O38" s="13" t="str">
        <f>IFERROR(__xludf.DUMMYFUNCTION("IF(REGEXMATCH($B38,O$1),$D38,"""")"),"")</f>
        <v/>
      </c>
      <c r="P38" s="13" t="str">
        <f>IFERROR(__xludf.DUMMYFUNCTION("IF(REGEXMATCH($B38,P$1),$D38,"""")"),"Animal Undead")</f>
        <v>Animal Undead</v>
      </c>
      <c r="Q38" s="13">
        <f>IFERROR(__xludf.DUMMYFUNCTION("IF($A38="""","""",LEN(REGEXREPLACE($I38,"",\s?"","""")))"),6.0)</f>
        <v>6</v>
      </c>
      <c r="R38" s="14" t="s">
        <v>207</v>
      </c>
      <c r="S38" s="15" t="s">
        <v>208</v>
      </c>
      <c r="T38" s="13"/>
      <c r="U38" s="13"/>
      <c r="V38" s="13"/>
      <c r="W38" s="13"/>
      <c r="X38" s="13"/>
      <c r="Y38" s="13"/>
      <c r="Z38" s="13"/>
      <c r="AA38" s="13"/>
      <c r="AB38" s="13"/>
    </row>
    <row r="39">
      <c r="A39" s="29" t="s">
        <v>209</v>
      </c>
      <c r="B39" s="10" t="s">
        <v>15</v>
      </c>
      <c r="C39" s="11">
        <v>1.0</v>
      </c>
      <c r="D39" s="21" t="s">
        <v>125</v>
      </c>
      <c r="E39" s="10" t="s">
        <v>210</v>
      </c>
      <c r="F39" s="10" t="str">
        <f>IFERROR(__xludf.DUMMYFUNCTION("IF(REGEXMATCH($E39,""Wizard""),""Wizard "","""")&amp;IF(REGEXMATCH($E39,""Construct""),""Construct "","""")&amp;IF(REGEXMATCH($E39,""Insect""),""Insect "","""")&amp;IF(REGEXMATCH($E39,""Dragon""),""Dragon "","""")&amp;IF(REGEXMATCH($E39,""Human""),""Human "","""")&amp;IF(REG"&amp;"EXMATCH($E39,""Hunter""),""Hunter "","""")&amp;IF(REGEXMATCH($E39,""Animal""),""Animal "","""")&amp;IF(REGEXMATCH($E39,""Undead""),""Undead "","""")&amp;IF(REGEXMATCH($E39,""Plant""),""Plant "","""")&amp;IF(REGEXMATCH($E39,""Dinosaur""),""Dinosaur "","""")&amp;IF(REGEXMATCH("&amp;"$E39,""Warrior""),""Warrior "","""")&amp;IF(REGEXMATCH($E39,""Spirit""),""Spirit "","""")&amp;IF(REGEXMATCH($E39,""Angel""),""Angel "","""")&amp;IF(REGEXMATCH($E39,""Demon""),""Demon "","""")&amp;IF(REGEXMATCH($E39,""Divine""),""Divine "","""")&amp;IF(REGEXMATCH($E39,""Eleme"&amp;"ntal""),""Elemental "","""")&amp;IF(REGEXMATCH($E39,""Nature""),""Nature "","""")&amp;IF(REGEXMATCH($E39,""Mortal""),""Mortal "","""")&amp;IF(REGEXMATCH($E39,""Void""),""Void "","""")&amp;IF(REGEXMATCH($E39,""Unearth|Ambush|Ritual|unearth|ambush|ritual""),""Unearth "","""&amp;""")&amp;IF(REGEXMATCH($E39,""Unleash|Crystallize|all realms|Crystalborn|crystallize""),""Ramp "","""")&amp;IF(REGEXMATCH($E39,""Demon""),""Demon "","""")&amp;IF(REGEXMATCH($E39,""bury|buries|Bury|Buries|Cleanse|puts a Unit|trail|Trail""),""Control "","""")&amp;IF(REGEXMA"&amp;"TCH($E39,""Bounce|Return|Copy|bounce|return|copy""),""Copy "","""")&amp;IF(REGEXMATCH($E39,""conquer|Conquer|leading in lanes|lead by""),""Aggro "","""")&amp;IF(REGEXMATCH($E39,""Ascend|ascend""),""Ascend "","""")&amp;IF(REGEXMATCH($E39,""Bury .+ Crystal|.*crystal.*b"&amp;"ury""),""Empty-Crystal"","""")&amp;IF(REGEXMATCH($E39,""Move|move""),""Move"","""")"),"Ramp ")</f>
        <v>Ramp </v>
      </c>
      <c r="G39" s="20" t="s">
        <v>211</v>
      </c>
      <c r="H39" s="21">
        <v>4.0</v>
      </c>
      <c r="I39" s="11" t="s">
        <v>63</v>
      </c>
      <c r="J39" s="21" t="s">
        <v>42</v>
      </c>
      <c r="L39" s="13" t="str">
        <f>IFERROR(__xludf.DUMMYFUNCTION("IF(REGEXMATCH($B39,L$1),$D39,"""")"),"")</f>
        <v/>
      </c>
      <c r="M39" s="13" t="str">
        <f>IFERROR(__xludf.DUMMYFUNCTION("IF(REGEXMATCH($B39,M$1),$D39,"""")"),"")</f>
        <v/>
      </c>
      <c r="N39" s="13" t="str">
        <f>IFERROR(__xludf.DUMMYFUNCTION("IF(REGEXMATCH($B39,N$1),$D39,"""")"),"")</f>
        <v/>
      </c>
      <c r="O39" s="13" t="str">
        <f>IFERROR(__xludf.DUMMYFUNCTION("IF(REGEXMATCH($B39,O$1),$D39,"""")"),"")</f>
        <v/>
      </c>
      <c r="P39" s="13" t="str">
        <f>IFERROR(__xludf.DUMMYFUNCTION("IF(REGEXMATCH($B39,P$1),$D39,"""")"),"Construct")</f>
        <v>Construct</v>
      </c>
      <c r="Q39" s="13">
        <f>IFERROR(__xludf.DUMMYFUNCTION("IF($A39="""","""",LEN(REGEXREPLACE($I39,"",\s?"","""")))"),3.0)</f>
        <v>3</v>
      </c>
      <c r="R39" s="14" t="s">
        <v>212</v>
      </c>
      <c r="S39" s="15" t="s">
        <v>213</v>
      </c>
      <c r="T39" s="13"/>
      <c r="U39" s="13"/>
      <c r="V39" s="13"/>
      <c r="W39" s="13"/>
      <c r="X39" s="13"/>
      <c r="Y39" s="13"/>
      <c r="Z39" s="13"/>
      <c r="AA39" s="13"/>
      <c r="AB39" s="13"/>
    </row>
    <row r="40">
      <c r="A40" s="29" t="s">
        <v>214</v>
      </c>
      <c r="B40" s="10" t="s">
        <v>15</v>
      </c>
      <c r="C40" s="11">
        <v>1.0</v>
      </c>
      <c r="D40" s="21" t="s">
        <v>125</v>
      </c>
      <c r="E40" s="19" t="s">
        <v>215</v>
      </c>
      <c r="F40" s="10" t="str">
        <f>IFERROR(__xludf.DUMMYFUNCTION("IF(REGEXMATCH($E40,""Wizard""),""Wizard "","""")&amp;IF(REGEXMATCH($E40,""Construct""),""Construct "","""")&amp;IF(REGEXMATCH($E40,""Insect""),""Insect "","""")&amp;IF(REGEXMATCH($E40,""Dragon""),""Dragon "","""")&amp;IF(REGEXMATCH($E40,""Human""),""Human "","""")&amp;IF(REG"&amp;"EXMATCH($E40,""Hunter""),""Hunter "","""")&amp;IF(REGEXMATCH($E40,""Animal""),""Animal "","""")&amp;IF(REGEXMATCH($E40,""Undead""),""Undead "","""")&amp;IF(REGEXMATCH($E40,""Plant""),""Plant "","""")&amp;IF(REGEXMATCH($E40,""Dinosaur""),""Dinosaur "","""")&amp;IF(REGEXMATCH("&amp;"$E40,""Warrior""),""Warrior "","""")&amp;IF(REGEXMATCH($E40,""Spirit""),""Spirit "","""")&amp;IF(REGEXMATCH($E40,""Angel""),""Angel "","""")&amp;IF(REGEXMATCH($E40,""Demon""),""Demon "","""")&amp;IF(REGEXMATCH($E40,""Divine""),""Divine "","""")&amp;IF(REGEXMATCH($E40,""Eleme"&amp;"ntal""),""Elemental "","""")&amp;IF(REGEXMATCH($E40,""Nature""),""Nature "","""")&amp;IF(REGEXMATCH($E40,""Mortal""),""Mortal "","""")&amp;IF(REGEXMATCH($E40,""Void""),""Void "","""")&amp;IF(REGEXMATCH($E40,""Unearth|Ambush|Ritual|unearth|ambush|ritual""),""Unearth "","""&amp;""")&amp;IF(REGEXMATCH($E40,""Unleash|Crystallize|all realms|Crystalborn|crystallize""),""Ramp "","""")&amp;IF(REGEXMATCH($E40,""Demon""),""Demon "","""")&amp;IF(REGEXMATCH($E40,""bury|buries|Bury|Buries|Cleanse|puts a Unit|trail|Trail""),""Control "","""")&amp;IF(REGEXMA"&amp;"TCH($E40,""Bounce|Return|Copy|bounce|return|copy""),""Copy "","""")&amp;IF(REGEXMATCH($E40,""conquer|Conquer|leading in lanes|lead by""),""Aggro "","""")&amp;IF(REGEXMATCH($E40,""Ascend|ascend""),""Ascend "","""")&amp;IF(REGEXMATCH($E40,""Bury .+ Crystal|.*crystal.*b"&amp;"ury""),""Empty-Crystal"","""")&amp;IF(REGEXMATCH($E40,""Move|move""),""Move"","""")"),"Construct ")</f>
        <v>Construct </v>
      </c>
      <c r="G40" s="20" t="s">
        <v>216</v>
      </c>
      <c r="H40" s="11">
        <v>3.0</v>
      </c>
      <c r="I40" s="11" t="s">
        <v>63</v>
      </c>
      <c r="J40" s="21" t="s">
        <v>42</v>
      </c>
      <c r="L40" s="13" t="str">
        <f>IFERROR(__xludf.DUMMYFUNCTION("IF(REGEXMATCH($B40,L$1),$D40,"""")"),"")</f>
        <v/>
      </c>
      <c r="M40" s="13" t="str">
        <f>IFERROR(__xludf.DUMMYFUNCTION("IF(REGEXMATCH($B40,M$1),$D40,"""")"),"")</f>
        <v/>
      </c>
      <c r="N40" s="13" t="str">
        <f>IFERROR(__xludf.DUMMYFUNCTION("IF(REGEXMATCH($B40,N$1),$D40,"""")"),"")</f>
        <v/>
      </c>
      <c r="O40" s="13" t="str">
        <f>IFERROR(__xludf.DUMMYFUNCTION("IF(REGEXMATCH($B40,O$1),$D40,"""")"),"")</f>
        <v/>
      </c>
      <c r="P40" s="13" t="str">
        <f>IFERROR(__xludf.DUMMYFUNCTION("IF(REGEXMATCH($B40,P$1),$D40,"""")"),"Construct")</f>
        <v>Construct</v>
      </c>
      <c r="Q40" s="13">
        <f>IFERROR(__xludf.DUMMYFUNCTION("IF($A40="""","""",LEN(REGEXREPLACE($I40,"",\s?"","""")))"),3.0)</f>
        <v>3</v>
      </c>
      <c r="R40" s="14" t="s">
        <v>217</v>
      </c>
      <c r="S40" s="15" t="s">
        <v>218</v>
      </c>
      <c r="T40" s="13"/>
      <c r="U40" s="13"/>
      <c r="V40" s="13"/>
      <c r="W40" s="13"/>
      <c r="X40" s="13"/>
      <c r="Y40" s="13"/>
      <c r="Z40" s="13"/>
      <c r="AA40" s="13"/>
      <c r="AB40" s="13"/>
    </row>
    <row r="41" hidden="1">
      <c r="A41" s="19" t="s">
        <v>219</v>
      </c>
      <c r="B41" s="19" t="s">
        <v>220</v>
      </c>
      <c r="C41" s="18">
        <v>2.0</v>
      </c>
      <c r="D41" s="18" t="s">
        <v>221</v>
      </c>
      <c r="E41" s="19" t="s">
        <v>222</v>
      </c>
      <c r="F41" s="10" t="str">
        <f>IFERROR(__xludf.DUMMYFUNCTION("IF(REGEXMATCH($E41,""Wizard""),""Wizard "","""")&amp;IF(REGEXMATCH($E41,""Construct""),""Construct "","""")&amp;IF(REGEXMATCH($E41,""Insect""),""Insect "","""")&amp;IF(REGEXMATCH($E41,""Dragon""),""Dragon "","""")&amp;IF(REGEXMATCH($E41,""Human""),""Human "","""")&amp;IF(REG"&amp;"EXMATCH($E41,""Hunter""),""Hunter "","""")&amp;IF(REGEXMATCH($E41,""Animal""),""Animal "","""")&amp;IF(REGEXMATCH($E41,""Undead""),""Undead "","""")&amp;IF(REGEXMATCH($E41,""Plant""),""Plant "","""")&amp;IF(REGEXMATCH($E41,""Dinosaur""),""Dinosaur "","""")&amp;IF(REGEXMATCH("&amp;"$E41,""Warrior""),""Warrior "","""")&amp;IF(REGEXMATCH($E41,""Spirit""),""Spirit "","""")&amp;IF(REGEXMATCH($E41,""Angel""),""Angel "","""")&amp;IF(REGEXMATCH($E41,""Demon""),""Demon "","""")&amp;IF(REGEXMATCH($E41,""Divine""),""Divine "","""")&amp;IF(REGEXMATCH($E41,""Eleme"&amp;"ntal""),""Elemental "","""")&amp;IF(REGEXMATCH($E41,""Nature""),""Nature "","""")&amp;IF(REGEXMATCH($E41,""Mortal""),""Mortal "","""")&amp;IF(REGEXMATCH($E41,""Void""),""Void "","""")&amp;IF(REGEXMATCH($E41,""Unearth|Ambush|Ritual|unearth|ambush|ritual""),""Unearth "","""&amp;""")&amp;IF(REGEXMATCH($E41,""Unleash|Crystallize|all realms|Crystalborn|crystallize""),""Ramp "","""")&amp;IF(REGEXMATCH($E41,""Demon""),""Demon "","""")&amp;IF(REGEXMATCH($E41,""bury|buries|Bury|Buries|Cleanse|puts a Unit|trail|Trail""),""Control "","""")&amp;IF(REGEXMA"&amp;"TCH($E41,""Bounce|Return|Copy|bounce|return|copy""),""Copy "","""")&amp;IF(REGEXMATCH($E41,""conquer|Conquer|leading in lanes|lead by""),""Aggro "","""")&amp;IF(REGEXMATCH($E41,""Ascend|ascend""),""Ascend "","""")&amp;IF(REGEXMATCH($E41,""Bury .+ Crystal|.*crystal.*b"&amp;"ury""),""Empty-Crystal"","""")&amp;IF(REGEXMATCH($E41,""Move|move""),""Move"","""")"),"Unearth ")</f>
        <v>Unearth </v>
      </c>
      <c r="G41" s="20" t="s">
        <v>223</v>
      </c>
      <c r="H41" s="18">
        <v>3.0</v>
      </c>
      <c r="I41" s="18" t="s">
        <v>224</v>
      </c>
      <c r="J41" s="18" t="s">
        <v>50</v>
      </c>
      <c r="L41" s="13" t="str">
        <f>IFERROR(__xludf.DUMMYFUNCTION("IF(REGEXMATCH($B41,L$1),$D41,"""")"),"")</f>
        <v/>
      </c>
      <c r="M41" s="13" t="str">
        <f>IFERROR(__xludf.DUMMYFUNCTION("IF(REGEXMATCH($B41,M$1),$D41,"""")"),"")</f>
        <v/>
      </c>
      <c r="N41" s="13" t="str">
        <f>IFERROR(__xludf.DUMMYFUNCTION("IF(REGEXMATCH($B41,N$1),$D41,"""")"),"")</f>
        <v/>
      </c>
      <c r="O41" s="13" t="str">
        <f>IFERROR(__xludf.DUMMYFUNCTION("IF(REGEXMATCH($B41,O$1),$D41,"""")"),"Human Hunter")</f>
        <v>Human Hunter</v>
      </c>
      <c r="P41" s="13" t="str">
        <f>IFERROR(__xludf.DUMMYFUNCTION("IF(REGEXMATCH($B41,P$1),$D41,"""")"),"Human Hunter")</f>
        <v>Human Hunter</v>
      </c>
      <c r="Q41" s="13">
        <f>IFERROR(__xludf.DUMMYFUNCTION("IF($A41="""","""",LEN(REGEXREPLACE($I41,"",\s?"","""")))"),5.0)</f>
        <v>5</v>
      </c>
      <c r="S41" s="13"/>
      <c r="T41" s="13"/>
      <c r="U41" s="13"/>
      <c r="V41" s="13"/>
      <c r="W41" s="13"/>
      <c r="X41" s="13"/>
      <c r="Y41" s="13"/>
      <c r="Z41" s="13"/>
      <c r="AA41" s="13"/>
      <c r="AB41" s="13"/>
    </row>
    <row r="42">
      <c r="A42" s="19" t="s">
        <v>225</v>
      </c>
      <c r="B42" s="10" t="s">
        <v>15</v>
      </c>
      <c r="C42" s="11">
        <v>1.0</v>
      </c>
      <c r="D42" s="11" t="s">
        <v>125</v>
      </c>
      <c r="E42" s="10" t="s">
        <v>226</v>
      </c>
      <c r="F42" s="10" t="str">
        <f>IFERROR(__xludf.DUMMYFUNCTION("IF(REGEXMATCH($E42,""Wizard""),""Wizard "","""")&amp;IF(REGEXMATCH($E42,""Construct""),""Construct "","""")&amp;IF(REGEXMATCH($E42,""Insect""),""Insect "","""")&amp;IF(REGEXMATCH($E42,""Dragon""),""Dragon "","""")&amp;IF(REGEXMATCH($E42,""Human""),""Human "","""")&amp;IF(REG"&amp;"EXMATCH($E42,""Hunter""),""Hunter "","""")&amp;IF(REGEXMATCH($E42,""Animal""),""Animal "","""")&amp;IF(REGEXMATCH($E42,""Undead""),""Undead "","""")&amp;IF(REGEXMATCH($E42,""Plant""),""Plant "","""")&amp;IF(REGEXMATCH($E42,""Dinosaur""),""Dinosaur "","""")&amp;IF(REGEXMATCH("&amp;"$E42,""Warrior""),""Warrior "","""")&amp;IF(REGEXMATCH($E42,""Spirit""),""Spirit "","""")&amp;IF(REGEXMATCH($E42,""Angel""),""Angel "","""")&amp;IF(REGEXMATCH($E42,""Demon""),""Demon "","""")&amp;IF(REGEXMATCH($E42,""Divine""),""Divine "","""")&amp;IF(REGEXMATCH($E42,""Eleme"&amp;"ntal""),""Elemental "","""")&amp;IF(REGEXMATCH($E42,""Nature""),""Nature "","""")&amp;IF(REGEXMATCH($E42,""Mortal""),""Mortal "","""")&amp;IF(REGEXMATCH($E42,""Void""),""Void "","""")&amp;IF(REGEXMATCH($E42,""Unearth|Ambush|Ritual|unearth|ambush|ritual""),""Unearth "","""&amp;""")&amp;IF(REGEXMATCH($E42,""Unleash|Crystallize|all realms|Crystalborn|crystallize""),""Ramp "","""")&amp;IF(REGEXMATCH($E42,""Demon""),""Demon "","""")&amp;IF(REGEXMATCH($E42,""bury|buries|Bury|Buries|Cleanse|puts a Unit|trail|Trail""),""Control "","""")&amp;IF(REGEXMA"&amp;"TCH($E42,""Bounce|Return|Copy|bounce|return|copy""),""Copy "","""")&amp;IF(REGEXMATCH($E42,""conquer|Conquer|leading in lanes|lead by""),""Aggro "","""")&amp;IF(REGEXMATCH($E42,""Ascend|ascend""),""Ascend "","""")&amp;IF(REGEXMATCH($E42,""Bury .+ Crystal|.*crystal.*b"&amp;"ury""),""Empty-Crystal"","""")&amp;IF(REGEXMATCH($E42,""Move|move""),""Move"","""")"),"Construct Ramp ")</f>
        <v>Construct Ramp </v>
      </c>
      <c r="G42" s="12" t="s">
        <v>227</v>
      </c>
      <c r="H42" s="11">
        <v>3.0</v>
      </c>
      <c r="I42" s="11" t="s">
        <v>87</v>
      </c>
      <c r="J42" s="11" t="s">
        <v>50</v>
      </c>
      <c r="L42" s="13" t="str">
        <f>IFERROR(__xludf.DUMMYFUNCTION("IF(REGEXMATCH($B42,L$1),$D42,"""")"),"")</f>
        <v/>
      </c>
      <c r="M42" s="13" t="str">
        <f>IFERROR(__xludf.DUMMYFUNCTION("IF(REGEXMATCH($B42,M$1),$D42,"""")"),"")</f>
        <v/>
      </c>
      <c r="N42" s="13" t="str">
        <f>IFERROR(__xludf.DUMMYFUNCTION("IF(REGEXMATCH($B42,N$1),$D42,"""")"),"")</f>
        <v/>
      </c>
      <c r="O42" s="13" t="str">
        <f>IFERROR(__xludf.DUMMYFUNCTION("IF(REGEXMATCH($B42,O$1),$D42,"""")"),"")</f>
        <v/>
      </c>
      <c r="P42" s="13" t="str">
        <f>IFERROR(__xludf.DUMMYFUNCTION("IF(REGEXMATCH($B42,P$1),$D42,"""")"),"Construct")</f>
        <v>Construct</v>
      </c>
      <c r="Q42" s="13">
        <f>IFERROR(__xludf.DUMMYFUNCTION("IF($A42="""","""",LEN(REGEXREPLACE($I42,"",\s?"","""")))"),4.0)</f>
        <v>4</v>
      </c>
      <c r="R42" s="14" t="s">
        <v>228</v>
      </c>
      <c r="S42" s="15" t="s">
        <v>229</v>
      </c>
      <c r="T42" s="13"/>
      <c r="U42" s="13"/>
      <c r="V42" s="13"/>
      <c r="W42" s="13"/>
      <c r="X42" s="13"/>
      <c r="Y42" s="13"/>
      <c r="Z42" s="13"/>
      <c r="AA42" s="13"/>
      <c r="AB42" s="13"/>
    </row>
    <row r="43" hidden="1">
      <c r="A43" s="10" t="s">
        <v>230</v>
      </c>
      <c r="B43" s="10" t="s">
        <v>220</v>
      </c>
      <c r="C43" s="11">
        <v>2.0</v>
      </c>
      <c r="D43" s="11" t="s">
        <v>231</v>
      </c>
      <c r="E43" s="10" t="s">
        <v>232</v>
      </c>
      <c r="F43" s="10" t="str">
        <f>IFERROR(__xludf.DUMMYFUNCTION("IF(REGEXMATCH($E43,""Wizard""),""Wizard "","""")&amp;IF(REGEXMATCH($E43,""Construct""),""Construct "","""")&amp;IF(REGEXMATCH($E43,""Insect""),""Insect "","""")&amp;IF(REGEXMATCH($E43,""Dragon""),""Dragon "","""")&amp;IF(REGEXMATCH($E43,""Human""),""Human "","""")&amp;IF(REG"&amp;"EXMATCH($E43,""Hunter""),""Hunter "","""")&amp;IF(REGEXMATCH($E43,""Animal""),""Animal "","""")&amp;IF(REGEXMATCH($E43,""Undead""),""Undead "","""")&amp;IF(REGEXMATCH($E43,""Plant""),""Plant "","""")&amp;IF(REGEXMATCH($E43,""Dinosaur""),""Dinosaur "","""")&amp;IF(REGEXMATCH("&amp;"$E43,""Warrior""),""Warrior "","""")&amp;IF(REGEXMATCH($E43,""Spirit""),""Spirit "","""")&amp;IF(REGEXMATCH($E43,""Angel""),""Angel "","""")&amp;IF(REGEXMATCH($E43,""Demon""),""Demon "","""")&amp;IF(REGEXMATCH($E43,""Divine""),""Divine "","""")&amp;IF(REGEXMATCH($E43,""Eleme"&amp;"ntal""),""Elemental "","""")&amp;IF(REGEXMATCH($E43,""Nature""),""Nature "","""")&amp;IF(REGEXMATCH($E43,""Mortal""),""Mortal "","""")&amp;IF(REGEXMATCH($E43,""Void""),""Void "","""")&amp;IF(REGEXMATCH($E43,""Unearth|Ambush|Ritual|unearth|ambush|ritual""),""Unearth "","""&amp;""")&amp;IF(REGEXMATCH($E43,""Unleash|Crystallize|all realms|Crystalborn|crystallize""),""Ramp "","""")&amp;IF(REGEXMATCH($E43,""Demon""),""Demon "","""")&amp;IF(REGEXMATCH($E43,""bury|buries|Bury|Buries|Cleanse|puts a Unit|trail|Trail""),""Control "","""")&amp;IF(REGEXMA"&amp;"TCH($E43,""Bounce|Return|Copy|bounce|return|copy""),""Copy "","""")&amp;IF(REGEXMATCH($E43,""conquer|Conquer|leading in lanes|lead by""),""Aggro "","""")&amp;IF(REGEXMATCH($E43,""Ascend|ascend""),""Ascend "","""")&amp;IF(REGEXMATCH($E43,""Bury .+ Crystal|.*crystal.*b"&amp;"ury""),""Empty-Crystal"","""")&amp;IF(REGEXMATCH($E43,""Move|move""),""Move"","""")"),"Divine Mortal Control ")</f>
        <v>Divine Mortal Control </v>
      </c>
      <c r="G43" s="12" t="s">
        <v>233</v>
      </c>
      <c r="H43" s="11">
        <v>4.0</v>
      </c>
      <c r="I43" s="11" t="s">
        <v>234</v>
      </c>
      <c r="J43" s="11" t="s">
        <v>33</v>
      </c>
      <c r="L43" s="13" t="str">
        <f>IFERROR(__xludf.DUMMYFUNCTION("IF(REGEXMATCH($B43,L$1),$D43,"""")"),"")</f>
        <v/>
      </c>
      <c r="M43" s="13" t="str">
        <f>IFERROR(__xludf.DUMMYFUNCTION("IF(REGEXMATCH($B43,M$1),$D43,"""")"),"")</f>
        <v/>
      </c>
      <c r="N43" s="13" t="str">
        <f>IFERROR(__xludf.DUMMYFUNCTION("IF(REGEXMATCH($B43,N$1),$D43,"""")"),"")</f>
        <v/>
      </c>
      <c r="O43" s="13" t="str">
        <f>IFERROR(__xludf.DUMMYFUNCTION("IF(REGEXMATCH($B43,O$1),$D43,"""")"),"Spirit Warrior")</f>
        <v>Spirit Warrior</v>
      </c>
      <c r="P43" s="13" t="str">
        <f>IFERROR(__xludf.DUMMYFUNCTION("IF(REGEXMATCH($B43,P$1),$D43,"""")"),"Spirit Warrior")</f>
        <v>Spirit Warrior</v>
      </c>
      <c r="Q43" s="13">
        <f>IFERROR(__xludf.DUMMYFUNCTION("IF($A43="""","""",LEN(REGEXREPLACE($I43,"",\s?"","""")))"),3.0)</f>
        <v>3</v>
      </c>
      <c r="S43" s="13"/>
      <c r="T43" s="13"/>
      <c r="U43" s="13"/>
      <c r="V43" s="13"/>
      <c r="W43" s="13"/>
      <c r="X43" s="13"/>
      <c r="Y43" s="13"/>
      <c r="Z43" s="13"/>
      <c r="AA43" s="13"/>
      <c r="AB43" s="13"/>
    </row>
    <row r="44" hidden="1">
      <c r="A44" s="22" t="s">
        <v>235</v>
      </c>
      <c r="B44" s="10" t="s">
        <v>220</v>
      </c>
      <c r="C44" s="11">
        <v>2.0</v>
      </c>
      <c r="D44" s="11" t="s">
        <v>101</v>
      </c>
      <c r="E44" s="10" t="s">
        <v>236</v>
      </c>
      <c r="F44" s="10" t="str">
        <f>IFERROR(__xludf.DUMMYFUNCTION("IF(REGEXMATCH($E44,""Wizard""),""Wizard "","""")&amp;IF(REGEXMATCH($E44,""Construct""),""Construct "","""")&amp;IF(REGEXMATCH($E44,""Insect""),""Insect "","""")&amp;IF(REGEXMATCH($E44,""Dragon""),""Dragon "","""")&amp;IF(REGEXMATCH($E44,""Human""),""Human "","""")&amp;IF(REG"&amp;"EXMATCH($E44,""Hunter""),""Hunter "","""")&amp;IF(REGEXMATCH($E44,""Animal""),""Animal "","""")&amp;IF(REGEXMATCH($E44,""Undead""),""Undead "","""")&amp;IF(REGEXMATCH($E44,""Plant""),""Plant "","""")&amp;IF(REGEXMATCH($E44,""Dinosaur""),""Dinosaur "","""")&amp;IF(REGEXMATCH("&amp;"$E44,""Warrior""),""Warrior "","""")&amp;IF(REGEXMATCH($E44,""Spirit""),""Spirit "","""")&amp;IF(REGEXMATCH($E44,""Angel""),""Angel "","""")&amp;IF(REGEXMATCH($E44,""Demon""),""Demon "","""")&amp;IF(REGEXMATCH($E44,""Divine""),""Divine "","""")&amp;IF(REGEXMATCH($E44,""Eleme"&amp;"ntal""),""Elemental "","""")&amp;IF(REGEXMATCH($E44,""Nature""),""Nature "","""")&amp;IF(REGEXMATCH($E44,""Mortal""),""Mortal "","""")&amp;IF(REGEXMATCH($E44,""Void""),""Void "","""")&amp;IF(REGEXMATCH($E44,""Unearth|Ambush|Ritual|unearth|ambush|ritual""),""Unearth "","""&amp;""")&amp;IF(REGEXMATCH($E44,""Unleash|Crystallize|all realms|Crystalborn|crystallize""),""Ramp "","""")&amp;IF(REGEXMATCH($E44,""Demon""),""Demon "","""")&amp;IF(REGEXMATCH($E44,""bury|buries|Bury|Buries|Cleanse|puts a Unit|trail|Trail""),""Control "","""")&amp;IF(REGEXMA"&amp;"TCH($E44,""Bounce|Return|Copy|bounce|return|copy""),""Copy "","""")&amp;IF(REGEXMATCH($E44,""conquer|Conquer|leading in lanes|lead by""),""Aggro "","""")&amp;IF(REGEXMATCH($E44,""Ascend|ascend""),""Ascend "","""")&amp;IF(REGEXMATCH($E44,""Bury .+ Crystal|.*crystal.*b"&amp;"ury""),""Empty-Crystal"","""")&amp;IF(REGEXMATCH($E44,""Move|move""),""Move"","""")"),"")</f>
        <v/>
      </c>
      <c r="G44" s="12" t="s">
        <v>237</v>
      </c>
      <c r="H44" s="11">
        <v>3.0</v>
      </c>
      <c r="I44" s="11" t="s">
        <v>238</v>
      </c>
      <c r="J44" s="11" t="s">
        <v>50</v>
      </c>
      <c r="L44" s="13" t="str">
        <f>IFERROR(__xludf.DUMMYFUNCTION("IF(REGEXMATCH($B44,L$1),$D44,"""")"),"")</f>
        <v/>
      </c>
      <c r="M44" s="13" t="str">
        <f>IFERROR(__xludf.DUMMYFUNCTION("IF(REGEXMATCH($B44,M$1),$D44,"""")"),"")</f>
        <v/>
      </c>
      <c r="N44" s="13" t="str">
        <f>IFERROR(__xludf.DUMMYFUNCTION("IF(REGEXMATCH($B44,N$1),$D44,"""")"),"")</f>
        <v/>
      </c>
      <c r="O44" s="13" t="str">
        <f>IFERROR(__xludf.DUMMYFUNCTION("IF(REGEXMATCH($B44,O$1),$D44,"""")"),"Angel Spirit")</f>
        <v>Angel Spirit</v>
      </c>
      <c r="P44" s="13" t="str">
        <f>IFERROR(__xludf.DUMMYFUNCTION("IF(REGEXMATCH($B44,P$1),$D44,"""")"),"Angel Spirit")</f>
        <v>Angel Spirit</v>
      </c>
      <c r="Q44" s="13">
        <f>IFERROR(__xludf.DUMMYFUNCTION("IF($A44="""","""",LEN(REGEXREPLACE($I44,"",\s?"","""")))"),4.0)</f>
        <v>4</v>
      </c>
      <c r="S44" s="13"/>
      <c r="T44" s="13"/>
      <c r="U44" s="13"/>
      <c r="V44" s="13"/>
      <c r="W44" s="13"/>
      <c r="X44" s="13"/>
      <c r="Y44" s="13"/>
      <c r="Z44" s="13"/>
      <c r="AA44" s="13"/>
      <c r="AB44" s="13"/>
    </row>
    <row r="45" hidden="1">
      <c r="A45" s="19" t="s">
        <v>239</v>
      </c>
      <c r="B45" s="19" t="s">
        <v>15</v>
      </c>
      <c r="C45" s="18">
        <v>0.0</v>
      </c>
      <c r="D45" s="18" t="s">
        <v>131</v>
      </c>
      <c r="E45" s="19" t="s">
        <v>240</v>
      </c>
      <c r="F45" s="10" t="str">
        <f>IFERROR(__xludf.DUMMYFUNCTION("IF(REGEXMATCH($E45,""Wizard""),""Wizard "","""")&amp;IF(REGEXMATCH($E45,""Construct""),""Construct "","""")&amp;IF(REGEXMATCH($E45,""Insect""),""Insect "","""")&amp;IF(REGEXMATCH($E45,""Dragon""),""Dragon "","""")&amp;IF(REGEXMATCH($E45,""Human""),""Human "","""")&amp;IF(REG"&amp;"EXMATCH($E45,""Hunter""),""Hunter "","""")&amp;IF(REGEXMATCH($E45,""Animal""),""Animal "","""")&amp;IF(REGEXMATCH($E45,""Undead""),""Undead "","""")&amp;IF(REGEXMATCH($E45,""Plant""),""Plant "","""")&amp;IF(REGEXMATCH($E45,""Dinosaur""),""Dinosaur "","""")&amp;IF(REGEXMATCH("&amp;"$E45,""Warrior""),""Warrior "","""")&amp;IF(REGEXMATCH($E45,""Spirit""),""Spirit "","""")&amp;IF(REGEXMATCH($E45,""Angel""),""Angel "","""")&amp;IF(REGEXMATCH($E45,""Demon""),""Demon "","""")&amp;IF(REGEXMATCH($E45,""Divine""),""Divine "","""")&amp;IF(REGEXMATCH($E45,""Eleme"&amp;"ntal""),""Elemental "","""")&amp;IF(REGEXMATCH($E45,""Nature""),""Nature "","""")&amp;IF(REGEXMATCH($E45,""Mortal""),""Mortal "","""")&amp;IF(REGEXMATCH($E45,""Void""),""Void "","""")&amp;IF(REGEXMATCH($E45,""Unearth|Ambush|Ritual|unearth|ambush|ritual""),""Unearth "","""&amp;""")&amp;IF(REGEXMATCH($E45,""Unleash|Crystallize|all realms|Crystalborn|crystallize""),""Ramp "","""")&amp;IF(REGEXMATCH($E45,""Demon""),""Demon "","""")&amp;IF(REGEXMATCH($E45,""bury|buries|Bury|Buries|Cleanse|puts a Unit|trail|Trail""),""Control "","""")&amp;IF(REGEXMA"&amp;"TCH($E45,""Bounce|Return|Copy|bounce|return|copy""),""Copy "","""")&amp;IF(REGEXMATCH($E45,""conquer|Conquer|leading in lanes|lead by""),""Aggro "","""")&amp;IF(REGEXMATCH($E45,""Ascend|ascend""),""Ascend "","""")&amp;IF(REGEXMATCH($E45,""Bury .+ Crystal|.*crystal.*b"&amp;"ury""),""Empty-Crystal"","""")&amp;IF(REGEXMATCH($E45,""Move|move""),""Move"","""")"),"Ramp Control ")</f>
        <v>Ramp Control </v>
      </c>
      <c r="G45" s="20" t="s">
        <v>241</v>
      </c>
      <c r="H45" s="18">
        <v>4.0</v>
      </c>
      <c r="I45" s="18" t="s">
        <v>32</v>
      </c>
      <c r="J45" s="18" t="s">
        <v>50</v>
      </c>
      <c r="L45" s="13" t="str">
        <f>IFERROR(__xludf.DUMMYFUNCTION("IF(REGEXMATCH($B45,L$1),$D45,"""")"),"")</f>
        <v/>
      </c>
      <c r="M45" s="13" t="str">
        <f>IFERROR(__xludf.DUMMYFUNCTION("IF(REGEXMATCH($B45,M$1),$D45,"""")"),"")</f>
        <v/>
      </c>
      <c r="N45" s="13" t="str">
        <f>IFERROR(__xludf.DUMMYFUNCTION("IF(REGEXMATCH($B45,N$1),$D45,"""")"),"")</f>
        <v/>
      </c>
      <c r="O45" s="13" t="str">
        <f>IFERROR(__xludf.DUMMYFUNCTION("IF(REGEXMATCH($B45,O$1),$D45,"""")"),"")</f>
        <v/>
      </c>
      <c r="P45" s="13" t="str">
        <f>IFERROR(__xludf.DUMMYFUNCTION("IF(REGEXMATCH($B45,P$1),$D45,"""")"),"Angel Wizard")</f>
        <v>Angel Wizard</v>
      </c>
      <c r="Q45" s="13">
        <f>IFERROR(__xludf.DUMMYFUNCTION("IF($A45="""","""",LEN(REGEXREPLACE($I45,"",\s?"","""")))"),5.0)</f>
        <v>5</v>
      </c>
      <c r="S45" s="13"/>
      <c r="T45" s="13"/>
      <c r="U45" s="13"/>
      <c r="V45" s="13"/>
      <c r="W45" s="13"/>
      <c r="X45" s="13"/>
      <c r="Y45" s="13"/>
      <c r="Z45" s="13"/>
      <c r="AA45" s="13"/>
      <c r="AB45" s="13"/>
    </row>
    <row r="46" hidden="1">
      <c r="A46" s="19" t="s">
        <v>242</v>
      </c>
      <c r="B46" s="33" t="s">
        <v>220</v>
      </c>
      <c r="C46" s="18">
        <v>2.0</v>
      </c>
      <c r="D46" s="18" t="s">
        <v>29</v>
      </c>
      <c r="E46" s="19" t="s">
        <v>243</v>
      </c>
      <c r="F46" s="10" t="str">
        <f>IFERROR(__xludf.DUMMYFUNCTION("IF(REGEXMATCH($E46,""Wizard""),""Wizard "","""")&amp;IF(REGEXMATCH($E46,""Construct""),""Construct "","""")&amp;IF(REGEXMATCH($E46,""Insect""),""Insect "","""")&amp;IF(REGEXMATCH($E46,""Dragon""),""Dragon "","""")&amp;IF(REGEXMATCH($E46,""Human""),""Human "","""")&amp;IF(REG"&amp;"EXMATCH($E46,""Hunter""),""Hunter "","""")&amp;IF(REGEXMATCH($E46,""Animal""),""Animal "","""")&amp;IF(REGEXMATCH($E46,""Undead""),""Undead "","""")&amp;IF(REGEXMATCH($E46,""Plant""),""Plant "","""")&amp;IF(REGEXMATCH($E46,""Dinosaur""),""Dinosaur "","""")&amp;IF(REGEXMATCH("&amp;"$E46,""Warrior""),""Warrior "","""")&amp;IF(REGEXMATCH($E46,""Spirit""),""Spirit "","""")&amp;IF(REGEXMATCH($E46,""Angel""),""Angel "","""")&amp;IF(REGEXMATCH($E46,""Demon""),""Demon "","""")&amp;IF(REGEXMATCH($E46,""Divine""),""Divine "","""")&amp;IF(REGEXMATCH($E46,""Eleme"&amp;"ntal""),""Elemental "","""")&amp;IF(REGEXMATCH($E46,""Nature""),""Nature "","""")&amp;IF(REGEXMATCH($E46,""Mortal""),""Mortal "","""")&amp;IF(REGEXMATCH($E46,""Void""),""Void "","""")&amp;IF(REGEXMATCH($E46,""Unearth|Ambush|Ritual|unearth|ambush|ritual""),""Unearth "","""&amp;""")&amp;IF(REGEXMATCH($E46,""Unleash|Crystallize|all realms|Crystalborn|crystallize""),""Ramp "","""")&amp;IF(REGEXMATCH($E46,""Demon""),""Demon "","""")&amp;IF(REGEXMATCH($E46,""bury|buries|Bury|Buries|Cleanse|puts a Unit|trail|Trail""),""Control "","""")&amp;IF(REGEXMA"&amp;"TCH($E46,""Bounce|Return|Copy|bounce|return|copy""),""Copy "","""")&amp;IF(REGEXMATCH($E46,""conquer|Conquer|leading in lanes|lead by""),""Aggro "","""")&amp;IF(REGEXMATCH($E46,""Ascend|ascend""),""Ascend "","""")&amp;IF(REGEXMATCH($E46,""Bury .+ Crystal|.*crystal.*b"&amp;"ury""),""Empty-Crystal"","""")&amp;IF(REGEXMATCH($E46,""Move|move""),""Move"","""")"),"Human Control ")</f>
        <v>Human Control </v>
      </c>
      <c r="G46" s="20" t="s">
        <v>244</v>
      </c>
      <c r="H46" s="18">
        <v>3.0</v>
      </c>
      <c r="I46" s="18" t="s">
        <v>238</v>
      </c>
      <c r="J46" s="11" t="s">
        <v>50</v>
      </c>
      <c r="L46" s="13" t="str">
        <f>IFERROR(__xludf.DUMMYFUNCTION("IF(REGEXMATCH($B46,L$1),$D46,"""")"),"")</f>
        <v/>
      </c>
      <c r="M46" s="13" t="str">
        <f>IFERROR(__xludf.DUMMYFUNCTION("IF(REGEXMATCH($B46,M$1),$D46,"""")"),"")</f>
        <v/>
      </c>
      <c r="N46" s="13" t="str">
        <f>IFERROR(__xludf.DUMMYFUNCTION("IF(REGEXMATCH($B46,N$1),$D46,"""")"),"")</f>
        <v/>
      </c>
      <c r="O46" s="13" t="str">
        <f>IFERROR(__xludf.DUMMYFUNCTION("IF(REGEXMATCH($B46,O$1),$D46,"""")"),"Angel")</f>
        <v>Angel</v>
      </c>
      <c r="P46" s="13" t="str">
        <f>IFERROR(__xludf.DUMMYFUNCTION("IF(REGEXMATCH($B46,P$1),$D46,"""")"),"Angel")</f>
        <v>Angel</v>
      </c>
      <c r="Q46" s="13">
        <f>IFERROR(__xludf.DUMMYFUNCTION("IF($A46="""","""",LEN(REGEXREPLACE($I46,"",\s?"","""")))"),4.0)</f>
        <v>4</v>
      </c>
      <c r="S46" s="13"/>
      <c r="T46" s="13"/>
      <c r="U46" s="13"/>
      <c r="V46" s="13"/>
      <c r="W46" s="13"/>
      <c r="X46" s="13"/>
      <c r="Y46" s="13"/>
      <c r="Z46" s="13"/>
      <c r="AA46" s="13"/>
      <c r="AB46" s="13"/>
    </row>
    <row r="47">
      <c r="A47" s="22" t="s">
        <v>245</v>
      </c>
      <c r="B47" s="10" t="s">
        <v>15</v>
      </c>
      <c r="C47" s="11">
        <v>1.0</v>
      </c>
      <c r="D47" s="11" t="s">
        <v>125</v>
      </c>
      <c r="E47" s="19" t="s">
        <v>246</v>
      </c>
      <c r="F47" s="10" t="str">
        <f>IFERROR(__xludf.DUMMYFUNCTION("IF(REGEXMATCH($E47,""Wizard""),""Wizard "","""")&amp;IF(REGEXMATCH($E47,""Construct""),""Construct "","""")&amp;IF(REGEXMATCH($E47,""Insect""),""Insect "","""")&amp;IF(REGEXMATCH($E47,""Dragon""),""Dragon "","""")&amp;IF(REGEXMATCH($E47,""Human""),""Human "","""")&amp;IF(REG"&amp;"EXMATCH($E47,""Hunter""),""Hunter "","""")&amp;IF(REGEXMATCH($E47,""Animal""),""Animal "","""")&amp;IF(REGEXMATCH($E47,""Undead""),""Undead "","""")&amp;IF(REGEXMATCH($E47,""Plant""),""Plant "","""")&amp;IF(REGEXMATCH($E47,""Dinosaur""),""Dinosaur "","""")&amp;IF(REGEXMATCH("&amp;"$E47,""Warrior""),""Warrior "","""")&amp;IF(REGEXMATCH($E47,""Spirit""),""Spirit "","""")&amp;IF(REGEXMATCH($E47,""Angel""),""Angel "","""")&amp;IF(REGEXMATCH($E47,""Demon""),""Demon "","""")&amp;IF(REGEXMATCH($E47,""Divine""),""Divine "","""")&amp;IF(REGEXMATCH($E47,""Eleme"&amp;"ntal""),""Elemental "","""")&amp;IF(REGEXMATCH($E47,""Nature""),""Nature "","""")&amp;IF(REGEXMATCH($E47,""Mortal""),""Mortal "","""")&amp;IF(REGEXMATCH($E47,""Void""),""Void "","""")&amp;IF(REGEXMATCH($E47,""Unearth|Ambush|Ritual|unearth|ambush|ritual""),""Unearth "","""&amp;""")&amp;IF(REGEXMATCH($E47,""Unleash|Crystallize|all realms|Crystalborn|crystallize""),""Ramp "","""")&amp;IF(REGEXMATCH($E47,""Demon""),""Demon "","""")&amp;IF(REGEXMATCH($E47,""bury|buries|Bury|Buries|Cleanse|puts a Unit|trail|Trail""),""Control "","""")&amp;IF(REGEXMA"&amp;"TCH($E47,""Bounce|Return|Copy|bounce|return|copy""),""Copy "","""")&amp;IF(REGEXMATCH($E47,""conquer|Conquer|leading in lanes|lead by""),""Aggro "","""")&amp;IF(REGEXMATCH($E47,""Ascend|ascend""),""Ascend "","""")&amp;IF(REGEXMATCH($E47,""Bury .+ Crystal|.*crystal.*b"&amp;"ury""),""Empty-Crystal"","""")&amp;IF(REGEXMATCH($E47,""Move|move""),""Move"","""")"),"Construct Ramp ")</f>
        <v>Construct Ramp </v>
      </c>
      <c r="G47" s="12" t="s">
        <v>247</v>
      </c>
      <c r="H47" s="11">
        <v>6.0</v>
      </c>
      <c r="I47" s="11" t="s">
        <v>248</v>
      </c>
      <c r="J47" s="18" t="s">
        <v>50</v>
      </c>
      <c r="L47" s="13" t="str">
        <f>IFERROR(__xludf.DUMMYFUNCTION("IF(REGEXMATCH($B47,L$1),$D47,"""")"),"")</f>
        <v/>
      </c>
      <c r="M47" s="13" t="str">
        <f>IFERROR(__xludf.DUMMYFUNCTION("IF(REGEXMATCH($B47,M$1),$D47,"""")"),"")</f>
        <v/>
      </c>
      <c r="N47" s="13" t="str">
        <f>IFERROR(__xludf.DUMMYFUNCTION("IF(REGEXMATCH($B47,N$1),$D47,"""")"),"")</f>
        <v/>
      </c>
      <c r="O47" s="13" t="str">
        <f>IFERROR(__xludf.DUMMYFUNCTION("IF(REGEXMATCH($B47,O$1),$D47,"""")"),"")</f>
        <v/>
      </c>
      <c r="P47" s="13" t="str">
        <f>IFERROR(__xludf.DUMMYFUNCTION("IF(REGEXMATCH($B47,P$1),$D47,"""")"),"Construct")</f>
        <v>Construct</v>
      </c>
      <c r="Q47" s="13">
        <f>IFERROR(__xludf.DUMMYFUNCTION("IF($A47="""","""",LEN(REGEXREPLACE($I47,"",\s?"","""")))"),7.0)</f>
        <v>7</v>
      </c>
      <c r="R47" s="14" t="s">
        <v>249</v>
      </c>
      <c r="S47" s="15" t="s">
        <v>250</v>
      </c>
      <c r="T47" s="13"/>
      <c r="U47" s="13"/>
      <c r="V47" s="13"/>
      <c r="W47" s="13"/>
      <c r="X47" s="13"/>
      <c r="Y47" s="13"/>
      <c r="Z47" s="13"/>
      <c r="AA47" s="13"/>
      <c r="AB47" s="13"/>
    </row>
    <row r="48">
      <c r="A48" s="10" t="s">
        <v>251</v>
      </c>
      <c r="B48" s="10" t="s">
        <v>15</v>
      </c>
      <c r="C48" s="11">
        <v>1.0</v>
      </c>
      <c r="D48" s="18" t="s">
        <v>252</v>
      </c>
      <c r="E48" s="19" t="s">
        <v>253</v>
      </c>
      <c r="F48" s="10" t="str">
        <f>IFERROR(__xludf.DUMMYFUNCTION("IF(REGEXMATCH($E48,""Wizard""),""Wizard "","""")&amp;IF(REGEXMATCH($E48,""Construct""),""Construct "","""")&amp;IF(REGEXMATCH($E48,""Insect""),""Insect "","""")&amp;IF(REGEXMATCH($E48,""Dragon""),""Dragon "","""")&amp;IF(REGEXMATCH($E48,""Human""),""Human "","""")&amp;IF(REG"&amp;"EXMATCH($E48,""Hunter""),""Hunter "","""")&amp;IF(REGEXMATCH($E48,""Animal""),""Animal "","""")&amp;IF(REGEXMATCH($E48,""Undead""),""Undead "","""")&amp;IF(REGEXMATCH($E48,""Plant""),""Plant "","""")&amp;IF(REGEXMATCH($E48,""Dinosaur""),""Dinosaur "","""")&amp;IF(REGEXMATCH("&amp;"$E48,""Warrior""),""Warrior "","""")&amp;IF(REGEXMATCH($E48,""Spirit""),""Spirit "","""")&amp;IF(REGEXMATCH($E48,""Angel""),""Angel "","""")&amp;IF(REGEXMATCH($E48,""Demon""),""Demon "","""")&amp;IF(REGEXMATCH($E48,""Divine""),""Divine "","""")&amp;IF(REGEXMATCH($E48,""Eleme"&amp;"ntal""),""Elemental "","""")&amp;IF(REGEXMATCH($E48,""Nature""),""Nature "","""")&amp;IF(REGEXMATCH($E48,""Mortal""),""Mortal "","""")&amp;IF(REGEXMATCH($E48,""Void""),""Void "","""")&amp;IF(REGEXMATCH($E48,""Unearth|Ambush|Ritual|unearth|ambush|ritual""),""Unearth "","""&amp;""")&amp;IF(REGEXMATCH($E48,""Unleash|Crystallize|all realms|Crystalborn|crystallize""),""Ramp "","""")&amp;IF(REGEXMATCH($E48,""Demon""),""Demon "","""")&amp;IF(REGEXMATCH($E48,""bury|buries|Bury|Buries|Cleanse|puts a Unit|trail|Trail""),""Control "","""")&amp;IF(REGEXMA"&amp;"TCH($E48,""Bounce|Return|Copy|bounce|return|copy""),""Copy "","""")&amp;IF(REGEXMATCH($E48,""conquer|Conquer|leading in lanes|lead by""),""Aggro "","""")&amp;IF(REGEXMATCH($E48,""Ascend|ascend""),""Ascend "","""")&amp;IF(REGEXMATCH($E48,""Bury .+ Crystal|.*crystal.*b"&amp;"ury""),""Empty-Crystal"","""")&amp;IF(REGEXMATCH($E48,""Move|move""),""Move"","""")"),"")</f>
        <v/>
      </c>
      <c r="G48" s="20" t="s">
        <v>254</v>
      </c>
      <c r="H48" s="18">
        <v>6.0</v>
      </c>
      <c r="I48" s="18" t="s">
        <v>69</v>
      </c>
      <c r="J48" s="11" t="s">
        <v>42</v>
      </c>
      <c r="L48" s="13" t="str">
        <f>IFERROR(__xludf.DUMMYFUNCTION("IF(REGEXMATCH($B48,L$1),$D48,"""")"),"")</f>
        <v/>
      </c>
      <c r="M48" s="13" t="str">
        <f>IFERROR(__xludf.DUMMYFUNCTION("IF(REGEXMATCH($B48,M$1),$D48,"""")"),"")</f>
        <v/>
      </c>
      <c r="N48" s="13" t="str">
        <f>IFERROR(__xludf.DUMMYFUNCTION("IF(REGEXMATCH($B48,N$1),$D48,"""")"),"")</f>
        <v/>
      </c>
      <c r="O48" s="13" t="str">
        <f>IFERROR(__xludf.DUMMYFUNCTION("IF(REGEXMATCH($B48,O$1),$D48,"""")"),"")</f>
        <v/>
      </c>
      <c r="P48" s="13" t="str">
        <f>IFERROR(__xludf.DUMMYFUNCTION("IF(REGEXMATCH($B48,P$1),$D48,"""")"),"Construct Dragon")</f>
        <v>Construct Dragon</v>
      </c>
      <c r="Q48" s="13">
        <f>IFERROR(__xludf.DUMMYFUNCTION("IF($A48="""","""",LEN(REGEXREPLACE($I48,"",\s?"","""")))"),6.0)</f>
        <v>6</v>
      </c>
      <c r="R48" s="14" t="s">
        <v>255</v>
      </c>
      <c r="S48" s="15" t="s">
        <v>256</v>
      </c>
      <c r="T48" s="13"/>
      <c r="U48" s="13"/>
      <c r="V48" s="13"/>
      <c r="W48" s="13"/>
      <c r="X48" s="13"/>
      <c r="Y48" s="13"/>
      <c r="Z48" s="13"/>
      <c r="AA48" s="13"/>
      <c r="AB48" s="13"/>
    </row>
    <row r="49">
      <c r="A49" s="10" t="s">
        <v>257</v>
      </c>
      <c r="B49" s="10" t="s">
        <v>15</v>
      </c>
      <c r="C49" s="11">
        <v>1.0</v>
      </c>
      <c r="D49" s="11" t="s">
        <v>258</v>
      </c>
      <c r="F49" s="10" t="str">
        <f>IFERROR(__xludf.DUMMYFUNCTION("IF(REGEXMATCH($E49,""Wizard""),""Wizard "","""")&amp;IF(REGEXMATCH($E49,""Construct""),""Construct "","""")&amp;IF(REGEXMATCH($E49,""Insect""),""Insect "","""")&amp;IF(REGEXMATCH($E49,""Dragon""),""Dragon "","""")&amp;IF(REGEXMATCH($E49,""Human""),""Human "","""")&amp;IF(REG"&amp;"EXMATCH($E49,""Hunter""),""Hunter "","""")&amp;IF(REGEXMATCH($E49,""Animal""),""Animal "","""")&amp;IF(REGEXMATCH($E49,""Undead""),""Undead "","""")&amp;IF(REGEXMATCH($E49,""Plant""),""Plant "","""")&amp;IF(REGEXMATCH($E49,""Dinosaur""),""Dinosaur "","""")&amp;IF(REGEXMATCH("&amp;"$E49,""Warrior""),""Warrior "","""")&amp;IF(REGEXMATCH($E49,""Spirit""),""Spirit "","""")&amp;IF(REGEXMATCH($E49,""Angel""),""Angel "","""")&amp;IF(REGEXMATCH($E49,""Demon""),""Demon "","""")&amp;IF(REGEXMATCH($E49,""Divine""),""Divine "","""")&amp;IF(REGEXMATCH($E49,""Eleme"&amp;"ntal""),""Elemental "","""")&amp;IF(REGEXMATCH($E49,""Nature""),""Nature "","""")&amp;IF(REGEXMATCH($E49,""Mortal""),""Mortal "","""")&amp;IF(REGEXMATCH($E49,""Void""),""Void "","""")&amp;IF(REGEXMATCH($E49,""Unearth|Ambush|Ritual|unearth|ambush|ritual""),""Unearth "","""&amp;""")&amp;IF(REGEXMATCH($E49,""Unleash|Crystallize|all realms|Crystalborn|crystallize""),""Ramp "","""")&amp;IF(REGEXMATCH($E49,""Demon""),""Demon "","""")&amp;IF(REGEXMATCH($E49,""bury|buries|Bury|Buries|Cleanse|puts a Unit|trail|Trail""),""Control "","""")&amp;IF(REGEXMA"&amp;"TCH($E49,""Bounce|Return|Copy|bounce|return|copy""),""Copy "","""")&amp;IF(REGEXMATCH($E49,""conquer|Conquer|leading in lanes|lead by""),""Aggro "","""")&amp;IF(REGEXMATCH($E49,""Ascend|ascend""),""Ascend "","""")&amp;IF(REGEXMATCH($E49,""Bury .+ Crystal|.*crystal.*b"&amp;"ury""),""Empty-Crystal"","""")&amp;IF(REGEXMATCH($E49,""Move|move""),""Move"","""")"),"")</f>
        <v/>
      </c>
      <c r="G49" s="12" t="s">
        <v>259</v>
      </c>
      <c r="H49" s="11">
        <v>9.0</v>
      </c>
      <c r="I49" s="11" t="s">
        <v>206</v>
      </c>
      <c r="J49" s="11" t="s">
        <v>50</v>
      </c>
      <c r="L49" s="13" t="str">
        <f>IFERROR(__xludf.DUMMYFUNCTION("IF(REGEXMATCH($B49,L$1),$D49,"""")"),"")</f>
        <v/>
      </c>
      <c r="M49" s="13" t="str">
        <f>IFERROR(__xludf.DUMMYFUNCTION("IF(REGEXMATCH($B49,M$1),$D49,"""")"),"")</f>
        <v/>
      </c>
      <c r="N49" s="13" t="str">
        <f>IFERROR(__xludf.DUMMYFUNCTION("IF(REGEXMATCH($B49,N$1),$D49,"""")"),"")</f>
        <v/>
      </c>
      <c r="O49" s="13" t="str">
        <f>IFERROR(__xludf.DUMMYFUNCTION("IF(REGEXMATCH($B49,O$1),$D49,"""")"),"")</f>
        <v/>
      </c>
      <c r="P49" s="13" t="str">
        <f>IFERROR(__xludf.DUMMYFUNCTION("IF(REGEXMATCH($B49,P$1),$D49,"""")"),"Construct Spirit")</f>
        <v>Construct Spirit</v>
      </c>
      <c r="Q49" s="13">
        <f>IFERROR(__xludf.DUMMYFUNCTION("IF($A49="""","""",LEN(REGEXREPLACE($I49,"",\s?"","""")))"),6.0)</f>
        <v>6</v>
      </c>
      <c r="R49" s="14" t="s">
        <v>260</v>
      </c>
      <c r="S49" s="15" t="s">
        <v>261</v>
      </c>
      <c r="T49" s="13"/>
      <c r="U49" s="13"/>
      <c r="V49" s="13"/>
      <c r="W49" s="13"/>
      <c r="X49" s="13"/>
      <c r="Y49" s="13"/>
      <c r="Z49" s="13"/>
      <c r="AA49" s="13"/>
      <c r="AB49" s="13"/>
    </row>
    <row r="50">
      <c r="A50" s="29" t="s">
        <v>262</v>
      </c>
      <c r="B50" s="10" t="s">
        <v>15</v>
      </c>
      <c r="C50" s="11">
        <v>1.0</v>
      </c>
      <c r="D50" s="11" t="s">
        <v>263</v>
      </c>
      <c r="E50" s="10" t="s">
        <v>264</v>
      </c>
      <c r="F50" s="10" t="str">
        <f>IFERROR(__xludf.DUMMYFUNCTION("IF(REGEXMATCH($E50,""Wizard""),""Wizard "","""")&amp;IF(REGEXMATCH($E50,""Construct""),""Construct "","""")&amp;IF(REGEXMATCH($E50,""Insect""),""Insect "","""")&amp;IF(REGEXMATCH($E50,""Dragon""),""Dragon "","""")&amp;IF(REGEXMATCH($E50,""Human""),""Human "","""")&amp;IF(REG"&amp;"EXMATCH($E50,""Hunter""),""Hunter "","""")&amp;IF(REGEXMATCH($E50,""Animal""),""Animal "","""")&amp;IF(REGEXMATCH($E50,""Undead""),""Undead "","""")&amp;IF(REGEXMATCH($E50,""Plant""),""Plant "","""")&amp;IF(REGEXMATCH($E50,""Dinosaur""),""Dinosaur "","""")&amp;IF(REGEXMATCH("&amp;"$E50,""Warrior""),""Warrior "","""")&amp;IF(REGEXMATCH($E50,""Spirit""),""Spirit "","""")&amp;IF(REGEXMATCH($E50,""Angel""),""Angel "","""")&amp;IF(REGEXMATCH($E50,""Demon""),""Demon "","""")&amp;IF(REGEXMATCH($E50,""Divine""),""Divine "","""")&amp;IF(REGEXMATCH($E50,""Eleme"&amp;"ntal""),""Elemental "","""")&amp;IF(REGEXMATCH($E50,""Nature""),""Nature "","""")&amp;IF(REGEXMATCH($E50,""Mortal""),""Mortal "","""")&amp;IF(REGEXMATCH($E50,""Void""),""Void "","""")&amp;IF(REGEXMATCH($E50,""Unearth|Ambush|Ritual|unearth|ambush|ritual""),""Unearth "","""&amp;""")&amp;IF(REGEXMATCH($E50,""Unleash|Crystallize|all realms|Crystalborn|crystallize""),""Ramp "","""")&amp;IF(REGEXMATCH($E50,""Demon""),""Demon "","""")&amp;IF(REGEXMATCH($E50,""bury|buries|Bury|Buries|Cleanse|puts a Unit|trail|Trail""),""Control "","""")&amp;IF(REGEXMA"&amp;"TCH($E50,""Bounce|Return|Copy|bounce|return|copy""),""Copy "","""")&amp;IF(REGEXMATCH($E50,""conquer|Conquer|leading in lanes|lead by""),""Aggro "","""")&amp;IF(REGEXMATCH($E50,""Ascend|ascend""),""Ascend "","""")&amp;IF(REGEXMATCH($E50,""Bury .+ Crystal|.*crystal.*b"&amp;"ury""),""Empty-Crystal"","""")&amp;IF(REGEXMATCH($E50,""Move|move""),""Move"","""")"),"")</f>
        <v/>
      </c>
      <c r="G50" s="20" t="s">
        <v>265</v>
      </c>
      <c r="H50" s="11">
        <v>2.0</v>
      </c>
      <c r="I50" s="11" t="s">
        <v>41</v>
      </c>
      <c r="J50" s="21" t="s">
        <v>42</v>
      </c>
      <c r="L50" s="13" t="str">
        <f>IFERROR(__xludf.DUMMYFUNCTION("IF(REGEXMATCH($B50,L$1),$D50,"""")"),"")</f>
        <v/>
      </c>
      <c r="M50" s="13" t="str">
        <f>IFERROR(__xludf.DUMMYFUNCTION("IF(REGEXMATCH($B50,M$1),$D50,"""")"),"")</f>
        <v/>
      </c>
      <c r="N50" s="13" t="str">
        <f>IFERROR(__xludf.DUMMYFUNCTION("IF(REGEXMATCH($B50,N$1),$D50,"""")"),"")</f>
        <v/>
      </c>
      <c r="O50" s="13" t="str">
        <f>IFERROR(__xludf.DUMMYFUNCTION("IF(REGEXMATCH($B50,O$1),$D50,"""")"),"")</f>
        <v/>
      </c>
      <c r="P50" s="13" t="str">
        <f>IFERROR(__xludf.DUMMYFUNCTION("IF(REGEXMATCH($B50,P$1),$D50,"""")"),"Construct Undead")</f>
        <v>Construct Undead</v>
      </c>
      <c r="Q50" s="13">
        <f>IFERROR(__xludf.DUMMYFUNCTION("IF($A50="""","""",LEN(REGEXREPLACE($I50,"",\s?"","""")))"),1.0)</f>
        <v>1</v>
      </c>
      <c r="R50" s="14" t="s">
        <v>266</v>
      </c>
      <c r="S50" s="15" t="s">
        <v>267</v>
      </c>
      <c r="T50" s="13"/>
      <c r="U50" s="13"/>
      <c r="V50" s="13"/>
      <c r="W50" s="13"/>
      <c r="X50" s="13"/>
      <c r="Y50" s="13"/>
      <c r="Z50" s="13"/>
      <c r="AA50" s="13"/>
      <c r="AB50" s="13"/>
    </row>
    <row r="51" hidden="1">
      <c r="A51" s="19" t="s">
        <v>268</v>
      </c>
      <c r="B51" s="19" t="s">
        <v>15</v>
      </c>
      <c r="C51" s="18">
        <v>2.0</v>
      </c>
      <c r="D51" s="18" t="s">
        <v>97</v>
      </c>
      <c r="E51" s="19" t="s">
        <v>269</v>
      </c>
      <c r="F51" s="10" t="str">
        <f>IFERROR(__xludf.DUMMYFUNCTION("IF(REGEXMATCH($E51,""Wizard""),""Wizard "","""")&amp;IF(REGEXMATCH($E51,""Construct""),""Construct "","""")&amp;IF(REGEXMATCH($E51,""Insect""),""Insect "","""")&amp;IF(REGEXMATCH($E51,""Dragon""),""Dragon "","""")&amp;IF(REGEXMATCH($E51,""Human""),""Human "","""")&amp;IF(REG"&amp;"EXMATCH($E51,""Hunter""),""Hunter "","""")&amp;IF(REGEXMATCH($E51,""Animal""),""Animal "","""")&amp;IF(REGEXMATCH($E51,""Undead""),""Undead "","""")&amp;IF(REGEXMATCH($E51,""Plant""),""Plant "","""")&amp;IF(REGEXMATCH($E51,""Dinosaur""),""Dinosaur "","""")&amp;IF(REGEXMATCH("&amp;"$E51,""Warrior""),""Warrior "","""")&amp;IF(REGEXMATCH($E51,""Spirit""),""Spirit "","""")&amp;IF(REGEXMATCH($E51,""Angel""),""Angel "","""")&amp;IF(REGEXMATCH($E51,""Demon""),""Demon "","""")&amp;IF(REGEXMATCH($E51,""Divine""),""Divine "","""")&amp;IF(REGEXMATCH($E51,""Eleme"&amp;"ntal""),""Elemental "","""")&amp;IF(REGEXMATCH($E51,""Nature""),""Nature "","""")&amp;IF(REGEXMATCH($E51,""Mortal""),""Mortal "","""")&amp;IF(REGEXMATCH($E51,""Void""),""Void "","""")&amp;IF(REGEXMATCH($E51,""Unearth|Ambush|Ritual|unearth|ambush|ritual""),""Unearth "","""&amp;""")&amp;IF(REGEXMATCH($E51,""Unleash|Crystallize|all realms|Crystalborn|crystallize""),""Ramp "","""")&amp;IF(REGEXMATCH($E51,""Demon""),""Demon "","""")&amp;IF(REGEXMATCH($E51,""bury|buries|Bury|Buries|Cleanse|puts a Unit|trail|Trail""),""Control "","""")&amp;IF(REGEXMA"&amp;"TCH($E51,""Bounce|Return|Copy|bounce|return|copy""),""Copy "","""")&amp;IF(REGEXMATCH($E51,""conquer|Conquer|leading in lanes|lead by""),""Aggro "","""")&amp;IF(REGEXMATCH($E51,""Ascend|ascend""),""Ascend "","""")&amp;IF(REGEXMATCH($E51,""Bury .+ Crystal|.*crystal.*b"&amp;"ury""),""Empty-Crystal"","""")&amp;IF(REGEXMATCH($E51,""Move|move""),""Move"","""")"),"Move")</f>
        <v>Move</v>
      </c>
      <c r="G51" s="20" t="s">
        <v>270</v>
      </c>
      <c r="H51" s="18">
        <v>5.0</v>
      </c>
      <c r="I51" s="11" t="s">
        <v>32</v>
      </c>
      <c r="J51" s="11" t="s">
        <v>50</v>
      </c>
      <c r="L51" s="13" t="str">
        <f>IFERROR(__xludf.DUMMYFUNCTION("IF(REGEXMATCH($B51,L$1),$D51,"""")"),"")</f>
        <v/>
      </c>
      <c r="M51" s="13" t="str">
        <f>IFERROR(__xludf.DUMMYFUNCTION("IF(REGEXMATCH($B51,M$1),$D51,"""")"),"")</f>
        <v/>
      </c>
      <c r="N51" s="13" t="str">
        <f>IFERROR(__xludf.DUMMYFUNCTION("IF(REGEXMATCH($B51,N$1),$D51,"""")"),"")</f>
        <v/>
      </c>
      <c r="O51" s="13" t="str">
        <f>IFERROR(__xludf.DUMMYFUNCTION("IF(REGEXMATCH($B51,O$1),$D51,"""")"),"")</f>
        <v/>
      </c>
      <c r="P51" s="13" t="str">
        <f>IFERROR(__xludf.DUMMYFUNCTION("IF(REGEXMATCH($B51,P$1),$D51,"""")"),"Angel Warrior")</f>
        <v>Angel Warrior</v>
      </c>
      <c r="Q51" s="13">
        <f>IFERROR(__xludf.DUMMYFUNCTION("IF($A51="""","""",LEN(REGEXREPLACE($I51,"",\s?"","""")))"),5.0)</f>
        <v>5</v>
      </c>
      <c r="S51" s="13"/>
      <c r="T51" s="13"/>
      <c r="U51" s="13"/>
      <c r="V51" s="13"/>
      <c r="W51" s="13"/>
      <c r="X51" s="13"/>
      <c r="Y51" s="13"/>
      <c r="Z51" s="13"/>
      <c r="AA51" s="13"/>
      <c r="AB51" s="13"/>
    </row>
    <row r="52">
      <c r="A52" s="10" t="s">
        <v>271</v>
      </c>
      <c r="B52" s="10" t="s">
        <v>15</v>
      </c>
      <c r="C52" s="11">
        <v>1.0</v>
      </c>
      <c r="D52" s="11" t="s">
        <v>272</v>
      </c>
      <c r="E52" s="26" t="s">
        <v>273</v>
      </c>
      <c r="F52" s="10" t="str">
        <f>IFERROR(__xludf.DUMMYFUNCTION("IF(REGEXMATCH($E52,""Wizard""),""Wizard "","""")&amp;IF(REGEXMATCH($E52,""Construct""),""Construct "","""")&amp;IF(REGEXMATCH($E52,""Insect""),""Insect "","""")&amp;IF(REGEXMATCH($E52,""Dragon""),""Dragon "","""")&amp;IF(REGEXMATCH($E52,""Human""),""Human "","""")&amp;IF(REG"&amp;"EXMATCH($E52,""Hunter""),""Hunter "","""")&amp;IF(REGEXMATCH($E52,""Animal""),""Animal "","""")&amp;IF(REGEXMATCH($E52,""Undead""),""Undead "","""")&amp;IF(REGEXMATCH($E52,""Plant""),""Plant "","""")&amp;IF(REGEXMATCH($E52,""Dinosaur""),""Dinosaur "","""")&amp;IF(REGEXMATCH("&amp;"$E52,""Warrior""),""Warrior "","""")&amp;IF(REGEXMATCH($E52,""Spirit""),""Spirit "","""")&amp;IF(REGEXMATCH($E52,""Angel""),""Angel "","""")&amp;IF(REGEXMATCH($E52,""Demon""),""Demon "","""")&amp;IF(REGEXMATCH($E52,""Divine""),""Divine "","""")&amp;IF(REGEXMATCH($E52,""Eleme"&amp;"ntal""),""Elemental "","""")&amp;IF(REGEXMATCH($E52,""Nature""),""Nature "","""")&amp;IF(REGEXMATCH($E52,""Mortal""),""Mortal "","""")&amp;IF(REGEXMATCH($E52,""Void""),""Void "","""")&amp;IF(REGEXMATCH($E52,""Unearth|Ambush|Ritual|unearth|ambush|ritual""),""Unearth "","""&amp;""")&amp;IF(REGEXMATCH($E52,""Unleash|Crystallize|all realms|Crystalborn|crystallize""),""Ramp "","""")&amp;IF(REGEXMATCH($E52,""Demon""),""Demon "","""")&amp;IF(REGEXMATCH($E52,""bury|buries|Bury|Buries|Cleanse|puts a Unit|trail|Trail""),""Control "","""")&amp;IF(REGEXMA"&amp;"TCH($E52,""Bounce|Return|Copy|bounce|return|copy""),""Copy "","""")&amp;IF(REGEXMATCH($E52,""conquer|Conquer|leading in lanes|lead by""),""Aggro "","""")&amp;IF(REGEXMATCH($E52,""Ascend|ascend""),""Ascend "","""")&amp;IF(REGEXMATCH($E52,""Bury .+ Crystal|.*crystal.*b"&amp;"ury""),""Empty-Crystal"","""")&amp;IF(REGEXMATCH($E52,""Move|move""),""Move"","""")"),"Divine ")</f>
        <v>Divine </v>
      </c>
      <c r="G52" s="12" t="s">
        <v>274</v>
      </c>
      <c r="H52" s="11">
        <v>6.0</v>
      </c>
      <c r="I52" s="11" t="s">
        <v>69</v>
      </c>
      <c r="J52" s="11" t="s">
        <v>42</v>
      </c>
      <c r="L52" s="13" t="str">
        <f>IFERROR(__xludf.DUMMYFUNCTION("IF(REGEXMATCH($B52,L$1),$D52,"""")"),"")</f>
        <v/>
      </c>
      <c r="M52" s="13" t="str">
        <f>IFERROR(__xludf.DUMMYFUNCTION("IF(REGEXMATCH($B52,M$1),$D52,"""")"),"")</f>
        <v/>
      </c>
      <c r="N52" s="13" t="str">
        <f>IFERROR(__xludf.DUMMYFUNCTION("IF(REGEXMATCH($B52,N$1),$D52,"""")"),"")</f>
        <v/>
      </c>
      <c r="O52" s="13" t="str">
        <f>IFERROR(__xludf.DUMMYFUNCTION("IF(REGEXMATCH($B52,O$1),$D52,"""")"),"")</f>
        <v/>
      </c>
      <c r="P52" s="13" t="str">
        <f>IFERROR(__xludf.DUMMYFUNCTION("IF(REGEXMATCH($B52,P$1),$D52,"""")"),"Construct Warrior")</f>
        <v>Construct Warrior</v>
      </c>
      <c r="Q52" s="13">
        <f>IFERROR(__xludf.DUMMYFUNCTION("IF($A52="""","""",LEN(REGEXREPLACE($I52,"",\s?"","""")))"),6.0)</f>
        <v>6</v>
      </c>
      <c r="R52" s="14" t="s">
        <v>275</v>
      </c>
      <c r="S52" s="15" t="s">
        <v>276</v>
      </c>
      <c r="T52" s="13"/>
      <c r="U52" s="13"/>
      <c r="V52" s="13"/>
      <c r="W52" s="13"/>
      <c r="X52" s="13"/>
      <c r="Y52" s="13"/>
      <c r="Z52" s="13"/>
      <c r="AA52" s="13"/>
      <c r="AB52" s="13"/>
    </row>
    <row r="53" hidden="1">
      <c r="A53" s="10" t="s">
        <v>277</v>
      </c>
      <c r="B53" s="10" t="s">
        <v>278</v>
      </c>
      <c r="C53" s="11">
        <v>2.0</v>
      </c>
      <c r="D53" s="11" t="s">
        <v>84</v>
      </c>
      <c r="E53" s="10" t="s">
        <v>279</v>
      </c>
      <c r="F53" s="10" t="str">
        <f>IFERROR(__xludf.DUMMYFUNCTION("IF(REGEXMATCH($E53,""Wizard""),""Wizard "","""")&amp;IF(REGEXMATCH($E53,""Construct""),""Construct "","""")&amp;IF(REGEXMATCH($E53,""Insect""),""Insect "","""")&amp;IF(REGEXMATCH($E53,""Dragon""),""Dragon "","""")&amp;IF(REGEXMATCH($E53,""Human""),""Human "","""")&amp;IF(REG"&amp;"EXMATCH($E53,""Hunter""),""Hunter "","""")&amp;IF(REGEXMATCH($E53,""Animal""),""Animal "","""")&amp;IF(REGEXMATCH($E53,""Undead""),""Undead "","""")&amp;IF(REGEXMATCH($E53,""Plant""),""Plant "","""")&amp;IF(REGEXMATCH($E53,""Dinosaur""),""Dinosaur "","""")&amp;IF(REGEXMATCH("&amp;"$E53,""Warrior""),""Warrior "","""")&amp;IF(REGEXMATCH($E53,""Spirit""),""Spirit "","""")&amp;IF(REGEXMATCH($E53,""Angel""),""Angel "","""")&amp;IF(REGEXMATCH($E53,""Demon""),""Demon "","""")&amp;IF(REGEXMATCH($E53,""Divine""),""Divine "","""")&amp;IF(REGEXMATCH($E53,""Eleme"&amp;"ntal""),""Elemental "","""")&amp;IF(REGEXMATCH($E53,""Nature""),""Nature "","""")&amp;IF(REGEXMATCH($E53,""Mortal""),""Mortal "","""")&amp;IF(REGEXMATCH($E53,""Void""),""Void "","""")&amp;IF(REGEXMATCH($E53,""Unearth|Ambush|Ritual|unearth|ambush|ritual""),""Unearth "","""&amp;""")&amp;IF(REGEXMATCH($E53,""Unleash|Crystallize|all realms|Crystalborn|crystallize""),""Ramp "","""")&amp;IF(REGEXMATCH($E53,""Demon""),""Demon "","""")&amp;IF(REGEXMATCH($E53,""bury|buries|Bury|Buries|Cleanse|puts a Unit|trail|Trail""),""Control "","""")&amp;IF(REGEXMA"&amp;"TCH($E53,""Bounce|Return|Copy|bounce|return|copy""),""Copy "","""")&amp;IF(REGEXMATCH($E53,""conquer|Conquer|leading in lanes|lead by""),""Aggro "","""")&amp;IF(REGEXMATCH($E53,""Ascend|ascend""),""Ascend "","""")&amp;IF(REGEXMATCH($E53,""Bury .+ Crystal|.*crystal.*b"&amp;"ury""),""Empty-Crystal"","""")&amp;IF(REGEXMATCH($E53,""Move|move""),""Move"","""")"),"Plant Angel ")</f>
        <v>Plant Angel </v>
      </c>
      <c r="G53" s="12" t="s">
        <v>280</v>
      </c>
      <c r="H53" s="11">
        <v>3.0</v>
      </c>
      <c r="I53" s="11" t="s">
        <v>281</v>
      </c>
      <c r="J53" s="11" t="s">
        <v>50</v>
      </c>
      <c r="L53" s="13" t="str">
        <f>IFERROR(__xludf.DUMMYFUNCTION("IF(REGEXMATCH($B53,L$1),$D53,"""")"),"")</f>
        <v/>
      </c>
      <c r="M53" s="13" t="str">
        <f>IFERROR(__xludf.DUMMYFUNCTION("IF(REGEXMATCH($B53,M$1),$D53,"""")"),"Angel Plant")</f>
        <v>Angel Plant</v>
      </c>
      <c r="N53" s="13" t="str">
        <f>IFERROR(__xludf.DUMMYFUNCTION("IF(REGEXMATCH($B53,N$1),$D53,"""")"),"")</f>
        <v/>
      </c>
      <c r="O53" s="13" t="str">
        <f>IFERROR(__xludf.DUMMYFUNCTION("IF(REGEXMATCH($B53,O$1),$D53,"""")"),"")</f>
        <v/>
      </c>
      <c r="P53" s="13" t="str">
        <f>IFERROR(__xludf.DUMMYFUNCTION("IF(REGEXMATCH($B53,P$1),$D53,"""")"),"Angel Plant")</f>
        <v>Angel Plant</v>
      </c>
      <c r="Q53" s="13">
        <f>IFERROR(__xludf.DUMMYFUNCTION("IF($A53="""","""",LEN(REGEXREPLACE($I53,"",\s?"","""")))"),3.0)</f>
        <v>3</v>
      </c>
      <c r="S53" s="13"/>
      <c r="T53" s="13"/>
      <c r="U53" s="13"/>
      <c r="V53" s="13"/>
      <c r="W53" s="13"/>
      <c r="X53" s="13"/>
      <c r="Y53" s="13"/>
      <c r="Z53" s="13"/>
      <c r="AA53" s="13"/>
      <c r="AB53" s="13"/>
    </row>
    <row r="54" hidden="1">
      <c r="A54" s="19" t="s">
        <v>282</v>
      </c>
      <c r="B54" s="19" t="s">
        <v>278</v>
      </c>
      <c r="C54" s="18">
        <v>2.0</v>
      </c>
      <c r="D54" s="18" t="s">
        <v>283</v>
      </c>
      <c r="E54" s="19" t="s">
        <v>284</v>
      </c>
      <c r="F54" s="10" t="str">
        <f>IFERROR(__xludf.DUMMYFUNCTION("IF(REGEXMATCH($E54,""Wizard""),""Wizard "","""")&amp;IF(REGEXMATCH($E54,""Construct""),""Construct "","""")&amp;IF(REGEXMATCH($E54,""Insect""),""Insect "","""")&amp;IF(REGEXMATCH($E54,""Dragon""),""Dragon "","""")&amp;IF(REGEXMATCH($E54,""Human""),""Human "","""")&amp;IF(REG"&amp;"EXMATCH($E54,""Hunter""),""Hunter "","""")&amp;IF(REGEXMATCH($E54,""Animal""),""Animal "","""")&amp;IF(REGEXMATCH($E54,""Undead""),""Undead "","""")&amp;IF(REGEXMATCH($E54,""Plant""),""Plant "","""")&amp;IF(REGEXMATCH($E54,""Dinosaur""),""Dinosaur "","""")&amp;IF(REGEXMATCH("&amp;"$E54,""Warrior""),""Warrior "","""")&amp;IF(REGEXMATCH($E54,""Spirit""),""Spirit "","""")&amp;IF(REGEXMATCH($E54,""Angel""),""Angel "","""")&amp;IF(REGEXMATCH($E54,""Demon""),""Demon "","""")&amp;IF(REGEXMATCH($E54,""Divine""),""Divine "","""")&amp;IF(REGEXMATCH($E54,""Eleme"&amp;"ntal""),""Elemental "","""")&amp;IF(REGEXMATCH($E54,""Nature""),""Nature "","""")&amp;IF(REGEXMATCH($E54,""Mortal""),""Mortal "","""")&amp;IF(REGEXMATCH($E54,""Void""),""Void "","""")&amp;IF(REGEXMATCH($E54,""Unearth|Ambush|Ritual|unearth|ambush|ritual""),""Unearth "","""&amp;""")&amp;IF(REGEXMATCH($E54,""Unleash|Crystallize|all realms|Crystalborn|crystallize""),""Ramp "","""")&amp;IF(REGEXMATCH($E54,""Demon""),""Demon "","""")&amp;IF(REGEXMATCH($E54,""bury|buries|Bury|Buries|Cleanse|puts a Unit|trail|Trail""),""Control "","""")&amp;IF(REGEXMA"&amp;"TCH($E54,""Bounce|Return|Copy|bounce|return|copy""),""Copy "","""")&amp;IF(REGEXMATCH($E54,""conquer|Conquer|leading in lanes|lead by""),""Aggro "","""")&amp;IF(REGEXMATCH($E54,""Ascend|ascend""),""Ascend "","""")&amp;IF(REGEXMATCH($E54,""Bury .+ Crystal|.*crystal.*b"&amp;"ury""),""Empty-Crystal"","""")&amp;IF(REGEXMATCH($E54,""Move|move""),""Move"","""")"),"Insect Copy ")</f>
        <v>Insect Copy </v>
      </c>
      <c r="G54" s="20" t="s">
        <v>285</v>
      </c>
      <c r="H54" s="18">
        <v>6.0</v>
      </c>
      <c r="I54" s="18" t="s">
        <v>286</v>
      </c>
      <c r="J54" s="18" t="s">
        <v>33</v>
      </c>
      <c r="L54" s="13" t="str">
        <f>IFERROR(__xludf.DUMMYFUNCTION("IF(REGEXMATCH($B54,L$1),$D54,"""")"),"")</f>
        <v/>
      </c>
      <c r="M54" s="13" t="str">
        <f>IFERROR(__xludf.DUMMYFUNCTION("IF(REGEXMATCH($B54,M$1),$D54,"""")"),"Insect Wizard")</f>
        <v>Insect Wizard</v>
      </c>
      <c r="N54" s="13" t="str">
        <f>IFERROR(__xludf.DUMMYFUNCTION("IF(REGEXMATCH($B54,N$1),$D54,"""")"),"")</f>
        <v/>
      </c>
      <c r="O54" s="13" t="str">
        <f>IFERROR(__xludf.DUMMYFUNCTION("IF(REGEXMATCH($B54,O$1),$D54,"""")"),"")</f>
        <v/>
      </c>
      <c r="P54" s="13" t="str">
        <f>IFERROR(__xludf.DUMMYFUNCTION("IF(REGEXMATCH($B54,P$1),$D54,"""")"),"Insect Wizard")</f>
        <v>Insect Wizard</v>
      </c>
      <c r="Q54" s="13">
        <f>IFERROR(__xludf.DUMMYFUNCTION("IF($A54="""","""",LEN(REGEXREPLACE($I54,"",\s?"","""")))"),6.0)</f>
        <v>6</v>
      </c>
      <c r="S54" s="13"/>
      <c r="T54" s="13"/>
      <c r="U54" s="13"/>
      <c r="V54" s="13"/>
      <c r="W54" s="13"/>
      <c r="X54" s="13"/>
      <c r="Y54" s="13"/>
      <c r="Z54" s="13"/>
      <c r="AA54" s="13"/>
      <c r="AB54" s="13"/>
    </row>
    <row r="55" hidden="1">
      <c r="A55" s="22" t="s">
        <v>287</v>
      </c>
      <c r="B55" s="10" t="s">
        <v>278</v>
      </c>
      <c r="C55" s="11">
        <v>2.0</v>
      </c>
      <c r="D55" s="11" t="s">
        <v>288</v>
      </c>
      <c r="E55" s="10" t="s">
        <v>289</v>
      </c>
      <c r="F55" s="10" t="str">
        <f>IFERROR(__xludf.DUMMYFUNCTION("IF(REGEXMATCH($E55,""Wizard""),""Wizard "","""")&amp;IF(REGEXMATCH($E55,""Construct""),""Construct "","""")&amp;IF(REGEXMATCH($E55,""Insect""),""Insect "","""")&amp;IF(REGEXMATCH($E55,""Dragon""),""Dragon "","""")&amp;IF(REGEXMATCH($E55,""Human""),""Human "","""")&amp;IF(REG"&amp;"EXMATCH($E55,""Hunter""),""Hunter "","""")&amp;IF(REGEXMATCH($E55,""Animal""),""Animal "","""")&amp;IF(REGEXMATCH($E55,""Undead""),""Undead "","""")&amp;IF(REGEXMATCH($E55,""Plant""),""Plant "","""")&amp;IF(REGEXMATCH($E55,""Dinosaur""),""Dinosaur "","""")&amp;IF(REGEXMATCH("&amp;"$E55,""Warrior""),""Warrior "","""")&amp;IF(REGEXMATCH($E55,""Spirit""),""Spirit "","""")&amp;IF(REGEXMATCH($E55,""Angel""),""Angel "","""")&amp;IF(REGEXMATCH($E55,""Demon""),""Demon "","""")&amp;IF(REGEXMATCH($E55,""Divine""),""Divine "","""")&amp;IF(REGEXMATCH($E55,""Eleme"&amp;"ntal""),""Elemental "","""")&amp;IF(REGEXMATCH($E55,""Nature""),""Nature "","""")&amp;IF(REGEXMATCH($E55,""Mortal""),""Mortal "","""")&amp;IF(REGEXMATCH($E55,""Void""),""Void "","""")&amp;IF(REGEXMATCH($E55,""Unearth|Ambush|Ritual|unearth|ambush|ritual""),""Unearth "","""&amp;""")&amp;IF(REGEXMATCH($E55,""Unleash|Crystallize|all realms|Crystalborn|crystallize""),""Ramp "","""")&amp;IF(REGEXMATCH($E55,""Demon""),""Demon "","""")&amp;IF(REGEXMATCH($E55,""bury|buries|Bury|Buries|Cleanse|puts a Unit|trail|Trail""),""Control "","""")&amp;IF(REGEXMA"&amp;"TCH($E55,""Bounce|Return|Copy|bounce|return|copy""),""Copy "","""")&amp;IF(REGEXMATCH($E55,""conquer|Conquer|leading in lanes|lead by""),""Aggro "","""")&amp;IF(REGEXMATCH($E55,""Ascend|ascend""),""Ascend "","""")&amp;IF(REGEXMATCH($E55,""Bury .+ Crystal|.*crystal.*b"&amp;"ury""),""Empty-Crystal"","""")&amp;IF(REGEXMATCH($E55,""Move|move""),""Move"","""")"),"Ramp Control ")</f>
        <v>Ramp Control </v>
      </c>
      <c r="G55" s="12" t="s">
        <v>290</v>
      </c>
      <c r="H55" s="11">
        <v>4.0</v>
      </c>
      <c r="I55" s="11" t="s">
        <v>291</v>
      </c>
      <c r="J55" s="11" t="s">
        <v>50</v>
      </c>
      <c r="L55" s="13" t="str">
        <f>IFERROR(__xludf.DUMMYFUNCTION("IF(REGEXMATCH($B55,L$1),$D55,"""")"),"")</f>
        <v/>
      </c>
      <c r="M55" s="13" t="str">
        <f>IFERROR(__xludf.DUMMYFUNCTION("IF(REGEXMATCH($B55,M$1),$D55,"""")"),"Construct Plant")</f>
        <v>Construct Plant</v>
      </c>
      <c r="N55" s="13" t="str">
        <f>IFERROR(__xludf.DUMMYFUNCTION("IF(REGEXMATCH($B55,N$1),$D55,"""")"),"")</f>
        <v/>
      </c>
      <c r="O55" s="13" t="str">
        <f>IFERROR(__xludf.DUMMYFUNCTION("IF(REGEXMATCH($B55,O$1),$D55,"""")"),"")</f>
        <v/>
      </c>
      <c r="P55" s="13" t="str">
        <f>IFERROR(__xludf.DUMMYFUNCTION("IF(REGEXMATCH($B55,P$1),$D55,"""")"),"Construct Plant")</f>
        <v>Construct Plant</v>
      </c>
      <c r="Q55" s="13">
        <f>IFERROR(__xludf.DUMMYFUNCTION("IF($A55="""","""",LEN(REGEXREPLACE($I55,"",\s?"","""")))"),5.0)</f>
        <v>5</v>
      </c>
      <c r="S55" s="13"/>
      <c r="T55" s="13"/>
      <c r="U55" s="13"/>
      <c r="V55" s="13"/>
      <c r="W55" s="13"/>
      <c r="X55" s="13"/>
      <c r="Y55" s="13"/>
      <c r="Z55" s="13"/>
      <c r="AA55" s="13"/>
      <c r="AB55" s="13"/>
    </row>
    <row r="56">
      <c r="A56" s="10" t="s">
        <v>292</v>
      </c>
      <c r="B56" s="10" t="s">
        <v>15</v>
      </c>
      <c r="C56" s="11">
        <v>1.0</v>
      </c>
      <c r="D56" s="11" t="s">
        <v>221</v>
      </c>
      <c r="E56" s="10" t="s">
        <v>293</v>
      </c>
      <c r="F56" s="10" t="str">
        <f>IFERROR(__xludf.DUMMYFUNCTION("IF(REGEXMATCH($E56,""Wizard""),""Wizard "","""")&amp;IF(REGEXMATCH($E56,""Construct""),""Construct "","""")&amp;IF(REGEXMATCH($E56,""Insect""),""Insect "","""")&amp;IF(REGEXMATCH($E56,""Dragon""),""Dragon "","""")&amp;IF(REGEXMATCH($E56,""Human""),""Human "","""")&amp;IF(REG"&amp;"EXMATCH($E56,""Hunter""),""Hunter "","""")&amp;IF(REGEXMATCH($E56,""Animal""),""Animal "","""")&amp;IF(REGEXMATCH($E56,""Undead""),""Undead "","""")&amp;IF(REGEXMATCH($E56,""Plant""),""Plant "","""")&amp;IF(REGEXMATCH($E56,""Dinosaur""),""Dinosaur "","""")&amp;IF(REGEXMATCH("&amp;"$E56,""Warrior""),""Warrior "","""")&amp;IF(REGEXMATCH($E56,""Spirit""),""Spirit "","""")&amp;IF(REGEXMATCH($E56,""Angel""),""Angel "","""")&amp;IF(REGEXMATCH($E56,""Demon""),""Demon "","""")&amp;IF(REGEXMATCH($E56,""Divine""),""Divine "","""")&amp;IF(REGEXMATCH($E56,""Eleme"&amp;"ntal""),""Elemental "","""")&amp;IF(REGEXMATCH($E56,""Nature""),""Nature "","""")&amp;IF(REGEXMATCH($E56,""Mortal""),""Mortal "","""")&amp;IF(REGEXMATCH($E56,""Void""),""Void "","""")&amp;IF(REGEXMATCH($E56,""Unearth|Ambush|Ritual|unearth|ambush|ritual""),""Unearth "","""&amp;""")&amp;IF(REGEXMATCH($E56,""Unleash|Crystallize|all realms|Crystalborn|crystallize""),""Ramp "","""")&amp;IF(REGEXMATCH($E56,""Demon""),""Demon "","""")&amp;IF(REGEXMATCH($E56,""bury|buries|Bury|Buries|Cleanse|puts a Unit|trail|Trail""),""Control "","""")&amp;IF(REGEXMA"&amp;"TCH($E56,""Bounce|Return|Copy|bounce|return|copy""),""Copy "","""")&amp;IF(REGEXMATCH($E56,""conquer|Conquer|leading in lanes|lead by""),""Aggro "","""")&amp;IF(REGEXMATCH($E56,""Ascend|ascend""),""Ascend "","""")&amp;IF(REGEXMATCH($E56,""Bury .+ Crystal|.*crystal.*b"&amp;"ury""),""Empty-Crystal"","""")&amp;IF(REGEXMATCH($E56,""Move|move""),""Move"","""")"),"Control ")</f>
        <v>Control </v>
      </c>
      <c r="G56" s="12" t="s">
        <v>294</v>
      </c>
      <c r="H56" s="11">
        <v>2.0</v>
      </c>
      <c r="I56" s="11" t="s">
        <v>121</v>
      </c>
      <c r="J56" s="11" t="s">
        <v>42</v>
      </c>
      <c r="L56" s="13" t="str">
        <f>IFERROR(__xludf.DUMMYFUNCTION("IF(REGEXMATCH($B56,L$1),$D56,"""")"),"")</f>
        <v/>
      </c>
      <c r="M56" s="13" t="str">
        <f>IFERROR(__xludf.DUMMYFUNCTION("IF(REGEXMATCH($B56,M$1),$D56,"""")"),"")</f>
        <v/>
      </c>
      <c r="N56" s="13" t="str">
        <f>IFERROR(__xludf.DUMMYFUNCTION("IF(REGEXMATCH($B56,N$1),$D56,"""")"),"")</f>
        <v/>
      </c>
      <c r="O56" s="13" t="str">
        <f>IFERROR(__xludf.DUMMYFUNCTION("IF(REGEXMATCH($B56,O$1),$D56,"""")"),"")</f>
        <v/>
      </c>
      <c r="P56" s="13" t="str">
        <f>IFERROR(__xludf.DUMMYFUNCTION("IF(REGEXMATCH($B56,P$1),$D56,"""")"),"Human Hunter")</f>
        <v>Human Hunter</v>
      </c>
      <c r="Q56" s="13">
        <f>IFERROR(__xludf.DUMMYFUNCTION("IF($A56="""","""",LEN(REGEXREPLACE($I56,"",\s?"","""")))"),2.0)</f>
        <v>2</v>
      </c>
      <c r="R56" s="14" t="s">
        <v>295</v>
      </c>
      <c r="S56" s="15" t="s">
        <v>296</v>
      </c>
      <c r="T56" s="13"/>
      <c r="U56" s="13"/>
      <c r="V56" s="13"/>
      <c r="W56" s="13"/>
      <c r="X56" s="13"/>
      <c r="Y56" s="13"/>
      <c r="Z56" s="13"/>
      <c r="AA56" s="13"/>
      <c r="AB56" s="13"/>
    </row>
    <row r="57" hidden="1">
      <c r="A57" s="19" t="s">
        <v>297</v>
      </c>
      <c r="B57" s="19" t="s">
        <v>278</v>
      </c>
      <c r="C57" s="18">
        <v>2.0</v>
      </c>
      <c r="D57" s="18" t="s">
        <v>298</v>
      </c>
      <c r="E57" s="19" t="s">
        <v>299</v>
      </c>
      <c r="F57" s="10" t="str">
        <f>IFERROR(__xludf.DUMMYFUNCTION("IF(REGEXMATCH($E57,""Wizard""),""Wizard "","""")&amp;IF(REGEXMATCH($E57,""Construct""),""Construct "","""")&amp;IF(REGEXMATCH($E57,""Insect""),""Insect "","""")&amp;IF(REGEXMATCH($E57,""Dragon""),""Dragon "","""")&amp;IF(REGEXMATCH($E57,""Human""),""Human "","""")&amp;IF(REG"&amp;"EXMATCH($E57,""Hunter""),""Hunter "","""")&amp;IF(REGEXMATCH($E57,""Animal""),""Animal "","""")&amp;IF(REGEXMATCH($E57,""Undead""),""Undead "","""")&amp;IF(REGEXMATCH($E57,""Plant""),""Plant "","""")&amp;IF(REGEXMATCH($E57,""Dinosaur""),""Dinosaur "","""")&amp;IF(REGEXMATCH("&amp;"$E57,""Warrior""),""Warrior "","""")&amp;IF(REGEXMATCH($E57,""Spirit""),""Spirit "","""")&amp;IF(REGEXMATCH($E57,""Angel""),""Angel "","""")&amp;IF(REGEXMATCH($E57,""Demon""),""Demon "","""")&amp;IF(REGEXMATCH($E57,""Divine""),""Divine "","""")&amp;IF(REGEXMATCH($E57,""Eleme"&amp;"ntal""),""Elemental "","""")&amp;IF(REGEXMATCH($E57,""Nature""),""Nature "","""")&amp;IF(REGEXMATCH($E57,""Mortal""),""Mortal "","""")&amp;IF(REGEXMATCH($E57,""Void""),""Void "","""")&amp;IF(REGEXMATCH($E57,""Unearth|Ambush|Ritual|unearth|ambush|ritual""),""Unearth "","""&amp;""")&amp;IF(REGEXMATCH($E57,""Unleash|Crystallize|all realms|Crystalborn|crystallize""),""Ramp "","""")&amp;IF(REGEXMATCH($E57,""Demon""),""Demon "","""")&amp;IF(REGEXMATCH($E57,""bury|buries|Bury|Buries|Cleanse|puts a Unit|trail|Trail""),""Control "","""")&amp;IF(REGEXMA"&amp;"TCH($E57,""Bounce|Return|Copy|bounce|return|copy""),""Copy "","""")&amp;IF(REGEXMATCH($E57,""conquer|Conquer|leading in lanes|lead by""),""Aggro "","""")&amp;IF(REGEXMATCH($E57,""Ascend|ascend""),""Ascend "","""")&amp;IF(REGEXMATCH($E57,""Bury .+ Crystal|.*crystal.*b"&amp;"ury""),""Empty-Crystal"","""")&amp;IF(REGEXMATCH($E57,""Move|move""),""Move"","""")"),"Ramp Ascend ")</f>
        <v>Ramp Ascend </v>
      </c>
      <c r="G57" s="20" t="s">
        <v>40</v>
      </c>
      <c r="H57" s="18">
        <v>5.0</v>
      </c>
      <c r="I57" s="18" t="s">
        <v>300</v>
      </c>
      <c r="J57" s="18" t="s">
        <v>33</v>
      </c>
      <c r="L57" s="13" t="str">
        <f>IFERROR(__xludf.DUMMYFUNCTION("IF(REGEXMATCH($B57,L$1),$D57,"""")"),"")</f>
        <v/>
      </c>
      <c r="M57" s="13" t="str">
        <f>IFERROR(__xludf.DUMMYFUNCTION("IF(REGEXMATCH($B57,M$1),$D57,"""")"),"Construct Dinosaur")</f>
        <v>Construct Dinosaur</v>
      </c>
      <c r="N57" s="13" t="str">
        <f>IFERROR(__xludf.DUMMYFUNCTION("IF(REGEXMATCH($B57,N$1),$D57,"""")"),"")</f>
        <v/>
      </c>
      <c r="O57" s="13" t="str">
        <f>IFERROR(__xludf.DUMMYFUNCTION("IF(REGEXMATCH($B57,O$1),$D57,"""")"),"")</f>
        <v/>
      </c>
      <c r="P57" s="13" t="str">
        <f>IFERROR(__xludf.DUMMYFUNCTION("IF(REGEXMATCH($B57,P$1),$D57,"""")"),"Construct Dinosaur")</f>
        <v>Construct Dinosaur</v>
      </c>
      <c r="Q57" s="13">
        <f>IFERROR(__xludf.DUMMYFUNCTION("IF($A57="""","""",LEN(REGEXREPLACE($I57,"",\s?"","""")))"),6.0)</f>
        <v>6</v>
      </c>
      <c r="S57" s="13"/>
      <c r="T57" s="13"/>
      <c r="U57" s="13"/>
      <c r="V57" s="13"/>
      <c r="W57" s="13"/>
      <c r="X57" s="13"/>
      <c r="Y57" s="13"/>
      <c r="Z57" s="13"/>
      <c r="AA57" s="13"/>
      <c r="AB57" s="13"/>
    </row>
    <row r="58" hidden="1">
      <c r="A58" s="19" t="s">
        <v>301</v>
      </c>
      <c r="B58" s="19" t="s">
        <v>278</v>
      </c>
      <c r="C58" s="18">
        <v>2.0</v>
      </c>
      <c r="D58" s="18" t="s">
        <v>302</v>
      </c>
      <c r="E58" s="19" t="s">
        <v>303</v>
      </c>
      <c r="F58" s="10" t="str">
        <f>IFERROR(__xludf.DUMMYFUNCTION("IF(REGEXMATCH($E58,""Wizard""),""Wizard "","""")&amp;IF(REGEXMATCH($E58,""Construct""),""Construct "","""")&amp;IF(REGEXMATCH($E58,""Insect""),""Insect "","""")&amp;IF(REGEXMATCH($E58,""Dragon""),""Dragon "","""")&amp;IF(REGEXMATCH($E58,""Human""),""Human "","""")&amp;IF(REG"&amp;"EXMATCH($E58,""Hunter""),""Hunter "","""")&amp;IF(REGEXMATCH($E58,""Animal""),""Animal "","""")&amp;IF(REGEXMATCH($E58,""Undead""),""Undead "","""")&amp;IF(REGEXMATCH($E58,""Plant""),""Plant "","""")&amp;IF(REGEXMATCH($E58,""Dinosaur""),""Dinosaur "","""")&amp;IF(REGEXMATCH("&amp;"$E58,""Warrior""),""Warrior "","""")&amp;IF(REGEXMATCH($E58,""Spirit""),""Spirit "","""")&amp;IF(REGEXMATCH($E58,""Angel""),""Angel "","""")&amp;IF(REGEXMATCH($E58,""Demon""),""Demon "","""")&amp;IF(REGEXMATCH($E58,""Divine""),""Divine "","""")&amp;IF(REGEXMATCH($E58,""Eleme"&amp;"ntal""),""Elemental "","""")&amp;IF(REGEXMATCH($E58,""Nature""),""Nature "","""")&amp;IF(REGEXMATCH($E58,""Mortal""),""Mortal "","""")&amp;IF(REGEXMATCH($E58,""Void""),""Void "","""")&amp;IF(REGEXMATCH($E58,""Unearth|Ambush|Ritual|unearth|ambush|ritual""),""Unearth "","""&amp;""")&amp;IF(REGEXMATCH($E58,""Unleash|Crystallize|all realms|Crystalborn|crystallize""),""Ramp "","""")&amp;IF(REGEXMATCH($E58,""Demon""),""Demon "","""")&amp;IF(REGEXMATCH($E58,""bury|buries|Bury|Buries|Cleanse|puts a Unit|trail|Trail""),""Control "","""")&amp;IF(REGEXMA"&amp;"TCH($E58,""Bounce|Return|Copy|bounce|return|copy""),""Copy "","""")&amp;IF(REGEXMATCH($E58,""conquer|Conquer|leading in lanes|lead by""),""Aggro "","""")&amp;IF(REGEXMATCH($E58,""Ascend|ascend""),""Ascend "","""")&amp;IF(REGEXMATCH($E58,""Bury .+ Crystal|.*crystal.*b"&amp;"ury""),""Empty-Crystal"","""")&amp;IF(REGEXMATCH($E58,""Move|move""),""Move"","""")"),"Ramp ")</f>
        <v>Ramp </v>
      </c>
      <c r="G58" s="20" t="s">
        <v>304</v>
      </c>
      <c r="H58" s="18">
        <v>3.0</v>
      </c>
      <c r="I58" s="18" t="s">
        <v>281</v>
      </c>
      <c r="J58" s="18" t="s">
        <v>50</v>
      </c>
      <c r="L58" s="13" t="str">
        <f>IFERROR(__xludf.DUMMYFUNCTION("IF(REGEXMATCH($B58,L$1),$D58,"""")"),"")</f>
        <v/>
      </c>
      <c r="M58" s="13" t="str">
        <f>IFERROR(__xludf.DUMMYFUNCTION("IF(REGEXMATCH($B58,M$1),$D58,"""")"),"Dinosaur")</f>
        <v>Dinosaur</v>
      </c>
      <c r="N58" s="13" t="str">
        <f>IFERROR(__xludf.DUMMYFUNCTION("IF(REGEXMATCH($B58,N$1),$D58,"""")"),"")</f>
        <v/>
      </c>
      <c r="O58" s="13" t="str">
        <f>IFERROR(__xludf.DUMMYFUNCTION("IF(REGEXMATCH($B58,O$1),$D58,"""")"),"")</f>
        <v/>
      </c>
      <c r="P58" s="13" t="str">
        <f>IFERROR(__xludf.DUMMYFUNCTION("IF(REGEXMATCH($B58,P$1),$D58,"""")"),"Dinosaur")</f>
        <v>Dinosaur</v>
      </c>
      <c r="Q58" s="13">
        <f>IFERROR(__xludf.DUMMYFUNCTION("IF($A58="""","""",LEN(REGEXREPLACE($I58,"",\s?"","""")))"),3.0)</f>
        <v>3</v>
      </c>
      <c r="S58" s="13"/>
      <c r="T58" s="13"/>
      <c r="U58" s="13"/>
      <c r="V58" s="13"/>
      <c r="W58" s="13"/>
      <c r="X58" s="13"/>
      <c r="Y58" s="13"/>
      <c r="Z58" s="13"/>
      <c r="AA58" s="13"/>
      <c r="AB58" s="13"/>
    </row>
    <row r="59">
      <c r="A59" s="31" t="s">
        <v>305</v>
      </c>
      <c r="B59" s="19" t="s">
        <v>15</v>
      </c>
      <c r="C59" s="18">
        <v>1.0</v>
      </c>
      <c r="D59" s="18" t="s">
        <v>306</v>
      </c>
      <c r="E59" s="19" t="s">
        <v>307</v>
      </c>
      <c r="F59" s="10" t="str">
        <f>IFERROR(__xludf.DUMMYFUNCTION("IF(REGEXMATCH($E59,""Wizard""),""Wizard "","""")&amp;IF(REGEXMATCH($E59,""Construct""),""Construct "","""")&amp;IF(REGEXMATCH($E59,""Insect""),""Insect "","""")&amp;IF(REGEXMATCH($E59,""Dragon""),""Dragon "","""")&amp;IF(REGEXMATCH($E59,""Human""),""Human "","""")&amp;IF(REG"&amp;"EXMATCH($E59,""Hunter""),""Hunter "","""")&amp;IF(REGEXMATCH($E59,""Animal""),""Animal "","""")&amp;IF(REGEXMATCH($E59,""Undead""),""Undead "","""")&amp;IF(REGEXMATCH($E59,""Plant""),""Plant "","""")&amp;IF(REGEXMATCH($E59,""Dinosaur""),""Dinosaur "","""")&amp;IF(REGEXMATCH("&amp;"$E59,""Warrior""),""Warrior "","""")&amp;IF(REGEXMATCH($E59,""Spirit""),""Spirit "","""")&amp;IF(REGEXMATCH($E59,""Angel""),""Angel "","""")&amp;IF(REGEXMATCH($E59,""Demon""),""Demon "","""")&amp;IF(REGEXMATCH($E59,""Divine""),""Divine "","""")&amp;IF(REGEXMATCH($E59,""Eleme"&amp;"ntal""),""Elemental "","""")&amp;IF(REGEXMATCH($E59,""Nature""),""Nature "","""")&amp;IF(REGEXMATCH($E59,""Mortal""),""Mortal "","""")&amp;IF(REGEXMATCH($E59,""Void""),""Void "","""")&amp;IF(REGEXMATCH($E59,""Unearth|Ambush|Ritual|unearth|ambush|ritual""),""Unearth "","""&amp;""")&amp;IF(REGEXMATCH($E59,""Unleash|Crystallize|all realms|Crystalborn|crystallize""),""Ramp "","""")&amp;IF(REGEXMATCH($E59,""Demon""),""Demon "","""")&amp;IF(REGEXMATCH($E59,""bury|buries|Bury|Buries|Cleanse|puts a Unit|trail|Trail""),""Control "","""")&amp;IF(REGEXMA"&amp;"TCH($E59,""Bounce|Return|Copy|bounce|return|copy""),""Copy "","""")&amp;IF(REGEXMATCH($E59,""conquer|Conquer|leading in lanes|lead by""),""Aggro "","""")&amp;IF(REGEXMATCH($E59,""Ascend|ascend""),""Ascend "","""")&amp;IF(REGEXMATCH($E59,""Bury .+ Crystal|.*crystal.*b"&amp;"ury""),""Empty-Crystal"","""")&amp;IF(REGEXMATCH($E59,""Move|move""),""Move"","""")"),"Unearth Aggro ")</f>
        <v>Unearth Aggro </v>
      </c>
      <c r="G59" s="20" t="s">
        <v>308</v>
      </c>
      <c r="H59" s="18">
        <v>2.0</v>
      </c>
      <c r="I59" s="18" t="s">
        <v>63</v>
      </c>
      <c r="J59" s="18" t="s">
        <v>50</v>
      </c>
      <c r="L59" s="13" t="str">
        <f>IFERROR(__xludf.DUMMYFUNCTION("IF(REGEXMATCH($B59,L$1),$D59,"""")"),"")</f>
        <v/>
      </c>
      <c r="M59" s="13" t="str">
        <f>IFERROR(__xludf.DUMMYFUNCTION("IF(REGEXMATCH($B59,M$1),$D59,"""")"),"")</f>
        <v/>
      </c>
      <c r="N59" s="13" t="str">
        <f>IFERROR(__xludf.DUMMYFUNCTION("IF(REGEXMATCH($B59,N$1),$D59,"""")"),"")</f>
        <v/>
      </c>
      <c r="O59" s="13" t="str">
        <f>IFERROR(__xludf.DUMMYFUNCTION("IF(REGEXMATCH($B59,O$1),$D59,"""")"),"")</f>
        <v/>
      </c>
      <c r="P59" s="13" t="str">
        <f>IFERROR(__xludf.DUMMYFUNCTION("IF(REGEXMATCH($B59,P$1),$D59,"""")"),"Insect Undead")</f>
        <v>Insect Undead</v>
      </c>
      <c r="Q59" s="13">
        <f>IFERROR(__xludf.DUMMYFUNCTION("IF($A59="""","""",LEN(REGEXREPLACE($I59,"",\s?"","""")))"),3.0)</f>
        <v>3</v>
      </c>
      <c r="R59" s="14" t="s">
        <v>309</v>
      </c>
      <c r="S59" s="15" t="s">
        <v>310</v>
      </c>
      <c r="T59" s="13"/>
      <c r="U59" s="13"/>
      <c r="V59" s="13"/>
      <c r="W59" s="13"/>
      <c r="X59" s="13"/>
      <c r="Y59" s="13"/>
      <c r="Z59" s="13"/>
      <c r="AA59" s="13"/>
      <c r="AB59" s="13"/>
    </row>
    <row r="60" hidden="1">
      <c r="A60" s="10" t="s">
        <v>311</v>
      </c>
      <c r="B60" s="10" t="s">
        <v>312</v>
      </c>
      <c r="C60" s="11">
        <v>2.0</v>
      </c>
      <c r="D60" s="11" t="s">
        <v>221</v>
      </c>
      <c r="E60" s="10" t="s">
        <v>313</v>
      </c>
      <c r="F60" s="10" t="str">
        <f>IFERROR(__xludf.DUMMYFUNCTION("IF(REGEXMATCH($E60,""Wizard""),""Wizard "","""")&amp;IF(REGEXMATCH($E60,""Construct""),""Construct "","""")&amp;IF(REGEXMATCH($E60,""Insect""),""Insect "","""")&amp;IF(REGEXMATCH($E60,""Dragon""),""Dragon "","""")&amp;IF(REGEXMATCH($E60,""Human""),""Human "","""")&amp;IF(REG"&amp;"EXMATCH($E60,""Hunter""),""Hunter "","""")&amp;IF(REGEXMATCH($E60,""Animal""),""Animal "","""")&amp;IF(REGEXMATCH($E60,""Undead""),""Undead "","""")&amp;IF(REGEXMATCH($E60,""Plant""),""Plant "","""")&amp;IF(REGEXMATCH($E60,""Dinosaur""),""Dinosaur "","""")&amp;IF(REGEXMATCH("&amp;"$E60,""Warrior""),""Warrior "","""")&amp;IF(REGEXMATCH($E60,""Spirit""),""Spirit "","""")&amp;IF(REGEXMATCH($E60,""Angel""),""Angel "","""")&amp;IF(REGEXMATCH($E60,""Demon""),""Demon "","""")&amp;IF(REGEXMATCH($E60,""Divine""),""Divine "","""")&amp;IF(REGEXMATCH($E60,""Eleme"&amp;"ntal""),""Elemental "","""")&amp;IF(REGEXMATCH($E60,""Nature""),""Nature "","""")&amp;IF(REGEXMATCH($E60,""Mortal""),""Mortal "","""")&amp;IF(REGEXMATCH($E60,""Void""),""Void "","""")&amp;IF(REGEXMATCH($E60,""Unearth|Ambush|Ritual|unearth|ambush|ritual""),""Unearth "","""&amp;""")&amp;IF(REGEXMATCH($E60,""Unleash|Crystallize|all realms|Crystalborn|crystallize""),""Ramp "","""")&amp;IF(REGEXMATCH($E60,""Demon""),""Demon "","""")&amp;IF(REGEXMATCH($E60,""bury|buries|Bury|Buries|Cleanse|puts a Unit|trail|Trail""),""Control "","""")&amp;IF(REGEXMA"&amp;"TCH($E60,""Bounce|Return|Copy|bounce|return|copy""),""Copy "","""")&amp;IF(REGEXMATCH($E60,""conquer|Conquer|leading in lanes|lead by""),""Aggro "","""")&amp;IF(REGEXMATCH($E60,""Ascend|ascend""),""Ascend "","""")&amp;IF(REGEXMATCH($E60,""Bury .+ Crystal|.*crystal.*b"&amp;"ury""),""Empty-Crystal"","""")&amp;IF(REGEXMATCH($E60,""Move|move""),""Move"","""")"),"Unearth ")</f>
        <v>Unearth </v>
      </c>
      <c r="G60" s="12" t="s">
        <v>314</v>
      </c>
      <c r="H60" s="11">
        <v>4.0</v>
      </c>
      <c r="I60" s="11" t="s">
        <v>315</v>
      </c>
      <c r="J60" s="11" t="s">
        <v>50</v>
      </c>
      <c r="L60" s="13" t="str">
        <f>IFERROR(__xludf.DUMMYFUNCTION("IF(REGEXMATCH($B60,L$1),$D60,"""")"),"")</f>
        <v/>
      </c>
      <c r="M60" s="13" t="str">
        <f>IFERROR(__xludf.DUMMYFUNCTION("IF(REGEXMATCH($B60,M$1),$D60,"""")"),"")</f>
        <v/>
      </c>
      <c r="N60" s="13" t="str">
        <f>IFERROR(__xludf.DUMMYFUNCTION("IF(REGEXMATCH($B60,N$1),$D60,"""")"),"Human Hunter")</f>
        <v>Human Hunter</v>
      </c>
      <c r="O60" s="13" t="str">
        <f>IFERROR(__xludf.DUMMYFUNCTION("IF(REGEXMATCH($B60,O$1),$D60,"""")"),"")</f>
        <v/>
      </c>
      <c r="P60" s="13" t="str">
        <f>IFERROR(__xludf.DUMMYFUNCTION("IF(REGEXMATCH($B60,P$1),$D60,"""")"),"Human Hunter")</f>
        <v>Human Hunter</v>
      </c>
      <c r="Q60" s="13">
        <f>IFERROR(__xludf.DUMMYFUNCTION("IF($A60="""","""",LEN(REGEXREPLACE($I60,"",\s?"","""")))"),5.0)</f>
        <v>5</v>
      </c>
      <c r="S60" s="13"/>
      <c r="T60" s="13"/>
      <c r="U60" s="13"/>
      <c r="V60" s="13"/>
      <c r="W60" s="13"/>
      <c r="X60" s="13"/>
      <c r="Y60" s="13"/>
      <c r="Z60" s="13"/>
      <c r="AA60" s="13"/>
      <c r="AB60" s="13"/>
    </row>
    <row r="61" hidden="1">
      <c r="A61" s="19" t="s">
        <v>316</v>
      </c>
      <c r="B61" s="19" t="s">
        <v>312</v>
      </c>
      <c r="C61" s="18">
        <v>2.0</v>
      </c>
      <c r="D61" s="18" t="s">
        <v>317</v>
      </c>
      <c r="E61" s="19" t="s">
        <v>318</v>
      </c>
      <c r="F61" s="10" t="str">
        <f>IFERROR(__xludf.DUMMYFUNCTION("IF(REGEXMATCH($E61,""Wizard""),""Wizard "","""")&amp;IF(REGEXMATCH($E61,""Construct""),""Construct "","""")&amp;IF(REGEXMATCH($E61,""Insect""),""Insect "","""")&amp;IF(REGEXMATCH($E61,""Dragon""),""Dragon "","""")&amp;IF(REGEXMATCH($E61,""Human""),""Human "","""")&amp;IF(REG"&amp;"EXMATCH($E61,""Hunter""),""Hunter "","""")&amp;IF(REGEXMATCH($E61,""Animal""),""Animal "","""")&amp;IF(REGEXMATCH($E61,""Undead""),""Undead "","""")&amp;IF(REGEXMATCH($E61,""Plant""),""Plant "","""")&amp;IF(REGEXMATCH($E61,""Dinosaur""),""Dinosaur "","""")&amp;IF(REGEXMATCH("&amp;"$E61,""Warrior""),""Warrior "","""")&amp;IF(REGEXMATCH($E61,""Spirit""),""Spirit "","""")&amp;IF(REGEXMATCH($E61,""Angel""),""Angel "","""")&amp;IF(REGEXMATCH($E61,""Demon""),""Demon "","""")&amp;IF(REGEXMATCH($E61,""Divine""),""Divine "","""")&amp;IF(REGEXMATCH($E61,""Eleme"&amp;"ntal""),""Elemental "","""")&amp;IF(REGEXMATCH($E61,""Nature""),""Nature "","""")&amp;IF(REGEXMATCH($E61,""Mortal""),""Mortal "","""")&amp;IF(REGEXMATCH($E61,""Void""),""Void "","""")&amp;IF(REGEXMATCH($E61,""Unearth|Ambush|Ritual|unearth|ambush|ritual""),""Unearth "","""&amp;""")&amp;IF(REGEXMATCH($E61,""Unleash|Crystallize|all realms|Crystalborn|crystallize""),""Ramp "","""")&amp;IF(REGEXMATCH($E61,""Demon""),""Demon "","""")&amp;IF(REGEXMATCH($E61,""bury|buries|Bury|Buries|Cleanse|puts a Unit|trail|Trail""),""Control "","""")&amp;IF(REGEXMA"&amp;"TCH($E61,""Bounce|Return|Copy|bounce|return|copy""),""Copy "","""")&amp;IF(REGEXMATCH($E61,""conquer|Conquer|leading in lanes|lead by""),""Aggro "","""")&amp;IF(REGEXMATCH($E61,""Ascend|ascend""),""Ascend "","""")&amp;IF(REGEXMATCH($E61,""Bury .+ Crystal|.*crystal.*b"&amp;"ury""),""Empty-Crystal"","""")&amp;IF(REGEXMATCH($E61,""Move|move""),""Move"","""")"),"Control Copy ")</f>
        <v>Control Copy </v>
      </c>
      <c r="G61" s="20" t="s">
        <v>319</v>
      </c>
      <c r="H61" s="18">
        <v>6.0</v>
      </c>
      <c r="I61" s="18" t="s">
        <v>320</v>
      </c>
      <c r="J61" s="18" t="s">
        <v>50</v>
      </c>
      <c r="L61" s="13" t="str">
        <f>IFERROR(__xludf.DUMMYFUNCTION("IF(REGEXMATCH($B61,L$1),$D61,"""")"),"")</f>
        <v/>
      </c>
      <c r="M61" s="13" t="str">
        <f>IFERROR(__xludf.DUMMYFUNCTION("IF(REGEXMATCH($B61,M$1),$D61,"""")"),"")</f>
        <v/>
      </c>
      <c r="N61" s="13" t="str">
        <f>IFERROR(__xludf.DUMMYFUNCTION("IF(REGEXMATCH($B61,N$1),$D61,"""")"),"Spirit")</f>
        <v>Spirit</v>
      </c>
      <c r="O61" s="13" t="str">
        <f>IFERROR(__xludf.DUMMYFUNCTION("IF(REGEXMATCH($B61,O$1),$D61,"""")"),"")</f>
        <v/>
      </c>
      <c r="P61" s="13" t="str">
        <f>IFERROR(__xludf.DUMMYFUNCTION("IF(REGEXMATCH($B61,P$1),$D61,"""")"),"Spirit")</f>
        <v>Spirit</v>
      </c>
      <c r="Q61" s="13">
        <f>IFERROR(__xludf.DUMMYFUNCTION("IF($A61="""","""",LEN(REGEXREPLACE($I61,"",\s?"","""")))"),6.0)</f>
        <v>6</v>
      </c>
      <c r="S61" s="13"/>
      <c r="T61" s="13"/>
      <c r="U61" s="13"/>
      <c r="V61" s="13"/>
      <c r="W61" s="13"/>
      <c r="X61" s="13"/>
      <c r="Y61" s="13"/>
      <c r="Z61" s="13"/>
      <c r="AA61" s="13"/>
      <c r="AB61" s="13"/>
    </row>
    <row r="62">
      <c r="A62" s="10" t="s">
        <v>321</v>
      </c>
      <c r="B62" s="10" t="s">
        <v>15</v>
      </c>
      <c r="C62" s="11">
        <v>1.0</v>
      </c>
      <c r="D62" s="11" t="s">
        <v>322</v>
      </c>
      <c r="E62" s="19" t="s">
        <v>323</v>
      </c>
      <c r="F62" s="10" t="str">
        <f>IFERROR(__xludf.DUMMYFUNCTION("IF(REGEXMATCH($E62,""Wizard""),""Wizard "","""")&amp;IF(REGEXMATCH($E62,""Construct""),""Construct "","""")&amp;IF(REGEXMATCH($E62,""Insect""),""Insect "","""")&amp;IF(REGEXMATCH($E62,""Dragon""),""Dragon "","""")&amp;IF(REGEXMATCH($E62,""Human""),""Human "","""")&amp;IF(REG"&amp;"EXMATCH($E62,""Hunter""),""Hunter "","""")&amp;IF(REGEXMATCH($E62,""Animal""),""Animal "","""")&amp;IF(REGEXMATCH($E62,""Undead""),""Undead "","""")&amp;IF(REGEXMATCH($E62,""Plant""),""Plant "","""")&amp;IF(REGEXMATCH($E62,""Dinosaur""),""Dinosaur "","""")&amp;IF(REGEXMATCH("&amp;"$E62,""Warrior""),""Warrior "","""")&amp;IF(REGEXMATCH($E62,""Spirit""),""Spirit "","""")&amp;IF(REGEXMATCH($E62,""Angel""),""Angel "","""")&amp;IF(REGEXMATCH($E62,""Demon""),""Demon "","""")&amp;IF(REGEXMATCH($E62,""Divine""),""Divine "","""")&amp;IF(REGEXMATCH($E62,""Eleme"&amp;"ntal""),""Elemental "","""")&amp;IF(REGEXMATCH($E62,""Nature""),""Nature "","""")&amp;IF(REGEXMATCH($E62,""Mortal""),""Mortal "","""")&amp;IF(REGEXMATCH($E62,""Void""),""Void "","""")&amp;IF(REGEXMATCH($E62,""Unearth|Ambush|Ritual|unearth|ambush|ritual""),""Unearth "","""&amp;""")&amp;IF(REGEXMATCH($E62,""Unleash|Crystallize|all realms|Crystalborn|crystallize""),""Ramp "","""")&amp;IF(REGEXMATCH($E62,""Demon""),""Demon "","""")&amp;IF(REGEXMATCH($E62,""bury|buries|Bury|Buries|Cleanse|puts a Unit|trail|Trail""),""Control "","""")&amp;IF(REGEXMA"&amp;"TCH($E62,""Bounce|Return|Copy|bounce|return|copy""),""Copy "","""")&amp;IF(REGEXMATCH($E62,""conquer|Conquer|leading in lanes|lead by""),""Aggro "","""")&amp;IF(REGEXMATCH($E62,""Ascend|ascend""),""Ascend "","""")&amp;IF(REGEXMATCH($E62,""Bury .+ Crystal|.*crystal.*b"&amp;"ury""),""Empty-Crystal"","""")&amp;IF(REGEXMATCH($E62,""Move|move""),""Move"","""")"),"Divine ")</f>
        <v>Divine </v>
      </c>
      <c r="G62" s="20" t="s">
        <v>324</v>
      </c>
      <c r="H62" s="11">
        <v>2.0</v>
      </c>
      <c r="I62" s="11" t="s">
        <v>41</v>
      </c>
      <c r="J62" s="11" t="s">
        <v>42</v>
      </c>
      <c r="L62" s="13" t="str">
        <f>IFERROR(__xludf.DUMMYFUNCTION("IF(REGEXMATCH($B62,L$1),$D62,"""")"),"")</f>
        <v/>
      </c>
      <c r="M62" s="13" t="str">
        <f>IFERROR(__xludf.DUMMYFUNCTION("IF(REGEXMATCH($B62,M$1),$D62,"""")"),"")</f>
        <v/>
      </c>
      <c r="N62" s="13" t="str">
        <f>IFERROR(__xludf.DUMMYFUNCTION("IF(REGEXMATCH($B62,N$1),$D62,"""")"),"")</f>
        <v/>
      </c>
      <c r="O62" s="13" t="str">
        <f>IFERROR(__xludf.DUMMYFUNCTION("IF(REGEXMATCH($B62,O$1),$D62,"""")"),"")</f>
        <v/>
      </c>
      <c r="P62" s="13" t="str">
        <f>IFERROR(__xludf.DUMMYFUNCTION("IF(REGEXMATCH($B62,P$1),$D62,"""")"),"Undead Warrior")</f>
        <v>Undead Warrior</v>
      </c>
      <c r="Q62" s="13">
        <f>IFERROR(__xludf.DUMMYFUNCTION("IF($A62="""","""",LEN(REGEXREPLACE($I62,"",\s?"","""")))"),1.0)</f>
        <v>1</v>
      </c>
      <c r="R62" s="14" t="s">
        <v>325</v>
      </c>
      <c r="S62" s="15" t="s">
        <v>326</v>
      </c>
      <c r="T62" s="13"/>
      <c r="U62" s="13"/>
      <c r="V62" s="13"/>
      <c r="W62" s="13"/>
      <c r="X62" s="13"/>
      <c r="Y62" s="13"/>
      <c r="Z62" s="13"/>
      <c r="AA62" s="13"/>
      <c r="AB62" s="13"/>
    </row>
    <row r="63">
      <c r="A63" s="10" t="s">
        <v>327</v>
      </c>
      <c r="B63" s="10" t="s">
        <v>187</v>
      </c>
      <c r="C63" s="11">
        <v>1.0</v>
      </c>
      <c r="D63" s="11" t="s">
        <v>328</v>
      </c>
      <c r="E63" s="10"/>
      <c r="F63" s="10" t="str">
        <f>IFERROR(__xludf.DUMMYFUNCTION("IF(REGEXMATCH($E63,""Wizard""),""Wizard "","""")&amp;IF(REGEXMATCH($E63,""Construct""),""Construct "","""")&amp;IF(REGEXMATCH($E63,""Insect""),""Insect "","""")&amp;IF(REGEXMATCH($E63,""Dragon""),""Dragon "","""")&amp;IF(REGEXMATCH($E63,""Human""),""Human "","""")&amp;IF(REG"&amp;"EXMATCH($E63,""Hunter""),""Hunter "","""")&amp;IF(REGEXMATCH($E63,""Animal""),""Animal "","""")&amp;IF(REGEXMATCH($E63,""Undead""),""Undead "","""")&amp;IF(REGEXMATCH($E63,""Plant""),""Plant "","""")&amp;IF(REGEXMATCH($E63,""Dinosaur""),""Dinosaur "","""")&amp;IF(REGEXMATCH("&amp;"$E63,""Warrior""),""Warrior "","""")&amp;IF(REGEXMATCH($E63,""Spirit""),""Spirit "","""")&amp;IF(REGEXMATCH($E63,""Angel""),""Angel "","""")&amp;IF(REGEXMATCH($E63,""Demon""),""Demon "","""")&amp;IF(REGEXMATCH($E63,""Divine""),""Divine "","""")&amp;IF(REGEXMATCH($E63,""Eleme"&amp;"ntal""),""Elemental "","""")&amp;IF(REGEXMATCH($E63,""Nature""),""Nature "","""")&amp;IF(REGEXMATCH($E63,""Mortal""),""Mortal "","""")&amp;IF(REGEXMATCH($E63,""Void""),""Void "","""")&amp;IF(REGEXMATCH($E63,""Unearth|Ambush|Ritual|unearth|ambush|ritual""),""Unearth "","""&amp;""")&amp;IF(REGEXMATCH($E63,""Unleash|Crystallize|all realms|Crystalborn|crystallize""),""Ramp "","""")&amp;IF(REGEXMATCH($E63,""Demon""),""Demon "","""")&amp;IF(REGEXMATCH($E63,""bury|buries|Bury|Buries|Cleanse|puts a Unit|trail|Trail""),""Control "","""")&amp;IF(REGEXMA"&amp;"TCH($E63,""Bounce|Return|Copy|bounce|return|copy""),""Copy "","""")&amp;IF(REGEXMATCH($E63,""conquer|Conquer|leading in lanes|lead by""),""Aggro "","""")&amp;IF(REGEXMATCH($E63,""Ascend|ascend""),""Ascend "","""")&amp;IF(REGEXMATCH($E63,""Bury .+ Crystal|.*crystal.*b"&amp;"ury""),""Empty-Crystal"","""")&amp;IF(REGEXMATCH($E63,""Move|move""),""Move"","""")"),"")</f>
        <v/>
      </c>
      <c r="G63" s="12" t="s">
        <v>329</v>
      </c>
      <c r="H63" s="11">
        <v>2.0</v>
      </c>
      <c r="I63" s="11" t="s">
        <v>330</v>
      </c>
      <c r="J63" s="11" t="s">
        <v>42</v>
      </c>
      <c r="L63" s="13" t="str">
        <f>IFERROR(__xludf.DUMMYFUNCTION("IF(REGEXMATCH($B63,L$1),$D63,"""")"),"Angel Bannerbearer Warrior")</f>
        <v>Angel Bannerbearer Warrior</v>
      </c>
      <c r="M63" s="13" t="str">
        <f>IFERROR(__xludf.DUMMYFUNCTION("IF(REGEXMATCH($B63,M$1),$D63,"""")"),"")</f>
        <v/>
      </c>
      <c r="N63" s="13" t="str">
        <f>IFERROR(__xludf.DUMMYFUNCTION("IF(REGEXMATCH($B63,N$1),$D63,"""")"),"")</f>
        <v/>
      </c>
      <c r="O63" s="13" t="str">
        <f>IFERROR(__xludf.DUMMYFUNCTION("IF(REGEXMATCH($B63,O$1),$D63,"""")"),"")</f>
        <v/>
      </c>
      <c r="P63" s="13" t="str">
        <f>IFERROR(__xludf.DUMMYFUNCTION("IF(REGEXMATCH($B63,P$1),$D63,"""")"),"Angel Bannerbearer Warrior")</f>
        <v>Angel Bannerbearer Warrior</v>
      </c>
      <c r="Q63" s="13">
        <f>IFERROR(__xludf.DUMMYFUNCTION("IF($A63="""","""",LEN(REGEXREPLACE($I63,"",\s?"","""")))"),2.0)</f>
        <v>2</v>
      </c>
      <c r="R63" s="14" t="s">
        <v>331</v>
      </c>
      <c r="S63" s="15" t="s">
        <v>332</v>
      </c>
      <c r="T63" s="13"/>
      <c r="U63" s="13"/>
      <c r="V63" s="13"/>
      <c r="W63" s="13"/>
      <c r="X63" s="13"/>
      <c r="Y63" s="13"/>
      <c r="Z63" s="13"/>
      <c r="AA63" s="13"/>
      <c r="AB63" s="13"/>
    </row>
    <row r="64" hidden="1">
      <c r="A64" s="19" t="s">
        <v>333</v>
      </c>
      <c r="B64" s="34" t="s">
        <v>11</v>
      </c>
      <c r="C64" s="18">
        <v>2.0</v>
      </c>
      <c r="D64" s="18" t="s">
        <v>44</v>
      </c>
      <c r="E64" s="19" t="s">
        <v>334</v>
      </c>
      <c r="F64" s="10" t="str">
        <f>IFERROR(__xludf.DUMMYFUNCTION("IF(REGEXMATCH($E64,""Wizard""),""Wizard "","""")&amp;IF(REGEXMATCH($E64,""Construct""),""Construct "","""")&amp;IF(REGEXMATCH($E64,""Insect""),""Insect "","""")&amp;IF(REGEXMATCH($E64,""Dragon""),""Dragon "","""")&amp;IF(REGEXMATCH($E64,""Human""),""Human "","""")&amp;IF(REG"&amp;"EXMATCH($E64,""Hunter""),""Hunter "","""")&amp;IF(REGEXMATCH($E64,""Animal""),""Animal "","""")&amp;IF(REGEXMATCH($E64,""Undead""),""Undead "","""")&amp;IF(REGEXMATCH($E64,""Plant""),""Plant "","""")&amp;IF(REGEXMATCH($E64,""Dinosaur""),""Dinosaur "","""")&amp;IF(REGEXMATCH("&amp;"$E64,""Warrior""),""Warrior "","""")&amp;IF(REGEXMATCH($E64,""Spirit""),""Spirit "","""")&amp;IF(REGEXMATCH($E64,""Angel""),""Angel "","""")&amp;IF(REGEXMATCH($E64,""Demon""),""Demon "","""")&amp;IF(REGEXMATCH($E64,""Divine""),""Divine "","""")&amp;IF(REGEXMATCH($E64,""Eleme"&amp;"ntal""),""Elemental "","""")&amp;IF(REGEXMATCH($E64,""Nature""),""Nature "","""")&amp;IF(REGEXMATCH($E64,""Mortal""),""Mortal "","""")&amp;IF(REGEXMATCH($E64,""Void""),""Void "","""")&amp;IF(REGEXMATCH($E64,""Unearth|Ambush|Ritual|unearth|ambush|ritual""),""Unearth "","""&amp;""")&amp;IF(REGEXMATCH($E64,""Unleash|Crystallize|all realms|Crystalborn|crystallize""),""Ramp "","""")&amp;IF(REGEXMATCH($E64,""Demon""),""Demon "","""")&amp;IF(REGEXMATCH($E64,""bury|buries|Bury|Buries|Cleanse|puts a Unit|trail|Trail""),""Control "","""")&amp;IF(REGEXMA"&amp;"TCH($E64,""Bounce|Return|Copy|bounce|return|copy""),""Copy "","""")&amp;IF(REGEXMATCH($E64,""conquer|Conquer|leading in lanes|lead by""),""Aggro "","""")&amp;IF(REGEXMATCH($E64,""Ascend|ascend""),""Ascend "","""")&amp;IF(REGEXMATCH($E64,""Bury .+ Crystal|.*crystal.*b"&amp;"ury""),""Empty-Crystal"","""")&amp;IF(REGEXMATCH($E64,""Move|move""),""Move"","""")"),"Spirit ")</f>
        <v>Spirit </v>
      </c>
      <c r="G64" s="20" t="s">
        <v>335</v>
      </c>
      <c r="H64" s="18">
        <v>2.0</v>
      </c>
      <c r="I64" s="11" t="s">
        <v>336</v>
      </c>
      <c r="J64" s="11" t="s">
        <v>42</v>
      </c>
      <c r="L64" s="13" t="str">
        <f>IFERROR(__xludf.DUMMYFUNCTION("IF(REGEXMATCH($B64,L$1),$D64,"""")"),"Human")</f>
        <v>Human</v>
      </c>
      <c r="M64" s="13" t="str">
        <f>IFERROR(__xludf.DUMMYFUNCTION("IF(REGEXMATCH($B64,M$1),$D64,"""")"),"")</f>
        <v/>
      </c>
      <c r="N64" s="13" t="str">
        <f>IFERROR(__xludf.DUMMYFUNCTION("IF(REGEXMATCH($B64,N$1),$D64,"""")"),"")</f>
        <v/>
      </c>
      <c r="O64" s="13" t="str">
        <f>IFERROR(__xludf.DUMMYFUNCTION("IF(REGEXMATCH($B64,O$1),$D64,"""")"),"")</f>
        <v/>
      </c>
      <c r="P64" s="13" t="str">
        <f>IFERROR(__xludf.DUMMYFUNCTION("IF(REGEXMATCH($B64,P$1),$D64,"""")"),"")</f>
        <v/>
      </c>
      <c r="Q64" s="13">
        <f>IFERROR(__xludf.DUMMYFUNCTION("IF($A64="""","""",LEN(REGEXREPLACE($I64,"",\s?"","""")))"),3.0)</f>
        <v>3</v>
      </c>
      <c r="S64" s="13"/>
      <c r="T64" s="13"/>
      <c r="U64" s="13"/>
      <c r="V64" s="13"/>
      <c r="W64" s="13"/>
      <c r="X64" s="13"/>
      <c r="Y64" s="13"/>
      <c r="Z64" s="13"/>
      <c r="AA64" s="13"/>
      <c r="AB64" s="13"/>
    </row>
    <row r="65">
      <c r="A65" s="10" t="s">
        <v>337</v>
      </c>
      <c r="B65" s="10" t="s">
        <v>187</v>
      </c>
      <c r="C65" s="11">
        <v>1.0</v>
      </c>
      <c r="D65" s="11" t="s">
        <v>338</v>
      </c>
      <c r="E65" s="10" t="s">
        <v>339</v>
      </c>
      <c r="F65" s="10" t="str">
        <f>IFERROR(__xludf.DUMMYFUNCTION("IF(REGEXMATCH($E65,""Wizard""),""Wizard "","""")&amp;IF(REGEXMATCH($E65,""Construct""),""Construct "","""")&amp;IF(REGEXMATCH($E65,""Insect""),""Insect "","""")&amp;IF(REGEXMATCH($E65,""Dragon""),""Dragon "","""")&amp;IF(REGEXMATCH($E65,""Human""),""Human "","""")&amp;IF(REG"&amp;"EXMATCH($E65,""Hunter""),""Hunter "","""")&amp;IF(REGEXMATCH($E65,""Animal""),""Animal "","""")&amp;IF(REGEXMATCH($E65,""Undead""),""Undead "","""")&amp;IF(REGEXMATCH($E65,""Plant""),""Plant "","""")&amp;IF(REGEXMATCH($E65,""Dinosaur""),""Dinosaur "","""")&amp;IF(REGEXMATCH("&amp;"$E65,""Warrior""),""Warrior "","""")&amp;IF(REGEXMATCH($E65,""Spirit""),""Spirit "","""")&amp;IF(REGEXMATCH($E65,""Angel""),""Angel "","""")&amp;IF(REGEXMATCH($E65,""Demon""),""Demon "","""")&amp;IF(REGEXMATCH($E65,""Divine""),""Divine "","""")&amp;IF(REGEXMATCH($E65,""Eleme"&amp;"ntal""),""Elemental "","""")&amp;IF(REGEXMATCH($E65,""Nature""),""Nature "","""")&amp;IF(REGEXMATCH($E65,""Mortal""),""Mortal "","""")&amp;IF(REGEXMATCH($E65,""Void""),""Void "","""")&amp;IF(REGEXMATCH($E65,""Unearth|Ambush|Ritual|unearth|ambush|ritual""),""Unearth "","""&amp;""")&amp;IF(REGEXMATCH($E65,""Unleash|Crystallize|all realms|Crystalborn|crystallize""),""Ramp "","""")&amp;IF(REGEXMATCH($E65,""Demon""),""Demon "","""")&amp;IF(REGEXMATCH($E65,""bury|buries|Bury|Buries|Cleanse|puts a Unit|trail|Trail""),""Control "","""")&amp;IF(REGEXMA"&amp;"TCH($E65,""Bounce|Return|Copy|bounce|return|copy""),""Copy "","""")&amp;IF(REGEXMATCH($E65,""conquer|Conquer|leading in lanes|lead by""),""Aggro "","""")&amp;IF(REGEXMATCH($E65,""Ascend|ascend""),""Ascend "","""")&amp;IF(REGEXMATCH($E65,""Bury .+ Crystal|.*crystal.*b"&amp;"ury""),""Empty-Crystal"","""")&amp;IF(REGEXMATCH($E65,""Move|move""),""Move"","""")"),"")</f>
        <v/>
      </c>
      <c r="G65" s="12" t="s">
        <v>340</v>
      </c>
      <c r="H65" s="11">
        <v>5.0</v>
      </c>
      <c r="I65" s="11" t="s">
        <v>341</v>
      </c>
      <c r="J65" s="11" t="s">
        <v>33</v>
      </c>
      <c r="L65" s="13" t="str">
        <f>IFERROR(__xludf.DUMMYFUNCTION("IF(REGEXMATCH($B65,L$1),$D65,"""")"),"Angel Dragon")</f>
        <v>Angel Dragon</v>
      </c>
      <c r="M65" s="13" t="str">
        <f>IFERROR(__xludf.DUMMYFUNCTION("IF(REGEXMATCH($B65,M$1),$D65,"""")"),"")</f>
        <v/>
      </c>
      <c r="N65" s="13" t="str">
        <f>IFERROR(__xludf.DUMMYFUNCTION("IF(REGEXMATCH($B65,N$1),$D65,"""")"),"")</f>
        <v/>
      </c>
      <c r="O65" s="13" t="str">
        <f>IFERROR(__xludf.DUMMYFUNCTION("IF(REGEXMATCH($B65,O$1),$D65,"""")"),"")</f>
        <v/>
      </c>
      <c r="P65" s="13" t="str">
        <f>IFERROR(__xludf.DUMMYFUNCTION("IF(REGEXMATCH($B65,P$1),$D65,"""")"),"Angel Dragon")</f>
        <v>Angel Dragon</v>
      </c>
      <c r="Q65" s="13">
        <f>IFERROR(__xludf.DUMMYFUNCTION("IF($A65="""","""",LEN(REGEXREPLACE($I65,"",\s?"","""")))"),5.0)</f>
        <v>5</v>
      </c>
      <c r="R65" s="14" t="s">
        <v>342</v>
      </c>
      <c r="S65" s="35" t="s">
        <v>343</v>
      </c>
      <c r="T65" s="13"/>
      <c r="U65" s="13"/>
      <c r="V65" s="13"/>
      <c r="W65" s="13"/>
      <c r="X65" s="13"/>
      <c r="Y65" s="13"/>
      <c r="Z65" s="13"/>
      <c r="AA65" s="13"/>
      <c r="AB65" s="13"/>
    </row>
    <row r="66" hidden="1">
      <c r="A66" s="10" t="s">
        <v>344</v>
      </c>
      <c r="B66" s="36" t="s">
        <v>11</v>
      </c>
      <c r="C66" s="11">
        <v>2.0</v>
      </c>
      <c r="D66" s="11" t="s">
        <v>345</v>
      </c>
      <c r="E66" s="10" t="s">
        <v>346</v>
      </c>
      <c r="F66" s="10" t="str">
        <f>IFERROR(__xludf.DUMMYFUNCTION("IF(REGEXMATCH($E66,""Wizard""),""Wizard "","""")&amp;IF(REGEXMATCH($E66,""Construct""),""Construct "","""")&amp;IF(REGEXMATCH($E66,""Insect""),""Insect "","""")&amp;IF(REGEXMATCH($E66,""Dragon""),""Dragon "","""")&amp;IF(REGEXMATCH($E66,""Human""),""Human "","""")&amp;IF(REG"&amp;"EXMATCH($E66,""Hunter""),""Hunter "","""")&amp;IF(REGEXMATCH($E66,""Animal""),""Animal "","""")&amp;IF(REGEXMATCH($E66,""Undead""),""Undead "","""")&amp;IF(REGEXMATCH($E66,""Plant""),""Plant "","""")&amp;IF(REGEXMATCH($E66,""Dinosaur""),""Dinosaur "","""")&amp;IF(REGEXMATCH("&amp;"$E66,""Warrior""),""Warrior "","""")&amp;IF(REGEXMATCH($E66,""Spirit""),""Spirit "","""")&amp;IF(REGEXMATCH($E66,""Angel""),""Angel "","""")&amp;IF(REGEXMATCH($E66,""Demon""),""Demon "","""")&amp;IF(REGEXMATCH($E66,""Divine""),""Divine "","""")&amp;IF(REGEXMATCH($E66,""Eleme"&amp;"ntal""),""Elemental "","""")&amp;IF(REGEXMATCH($E66,""Nature""),""Nature "","""")&amp;IF(REGEXMATCH($E66,""Mortal""),""Mortal "","""")&amp;IF(REGEXMATCH($E66,""Void""),""Void "","""")&amp;IF(REGEXMATCH($E66,""Unearth|Ambush|Ritual|unearth|ambush|ritual""),""Unearth "","""&amp;""")&amp;IF(REGEXMATCH($E66,""Unleash|Crystallize|all realms|Crystalborn|crystallize""),""Ramp "","""")&amp;IF(REGEXMATCH($E66,""Demon""),""Demon "","""")&amp;IF(REGEXMATCH($E66,""bury|buries|Bury|Buries|Cleanse|puts a Unit|trail|Trail""),""Control "","""")&amp;IF(REGEXMA"&amp;"TCH($E66,""Bounce|Return|Copy|bounce|return|copy""),""Copy "","""")&amp;IF(REGEXMATCH($E66,""conquer|Conquer|leading in lanes|lead by""),""Aggro "","""")&amp;IF(REGEXMATCH($E66,""Ascend|ascend""),""Ascend "","""")&amp;IF(REGEXMATCH($E66,""Bury .+ Crystal|.*crystal.*b"&amp;"ury""),""Empty-Crystal"","""")&amp;IF(REGEXMATCH($E66,""Move|move""),""Move"","""")"),"Wizard ")</f>
        <v>Wizard </v>
      </c>
      <c r="G66" s="12" t="s">
        <v>347</v>
      </c>
      <c r="H66" s="11">
        <v>4.0</v>
      </c>
      <c r="I66" s="11" t="s">
        <v>348</v>
      </c>
      <c r="J66" s="11" t="s">
        <v>50</v>
      </c>
      <c r="L66" s="13" t="str">
        <f>IFERROR(__xludf.DUMMYFUNCTION("IF(REGEXMATCH($B66,L$1),$D66,"""")"),"Human Wizard")</f>
        <v>Human Wizard</v>
      </c>
      <c r="M66" s="13" t="str">
        <f>IFERROR(__xludf.DUMMYFUNCTION("IF(REGEXMATCH($B66,M$1),$D66,"""")"),"")</f>
        <v/>
      </c>
      <c r="N66" s="13" t="str">
        <f>IFERROR(__xludf.DUMMYFUNCTION("IF(REGEXMATCH($B66,N$1),$D66,"""")"),"")</f>
        <v/>
      </c>
      <c r="O66" s="13" t="str">
        <f>IFERROR(__xludf.DUMMYFUNCTION("IF(REGEXMATCH($B66,O$1),$D66,"""")"),"")</f>
        <v/>
      </c>
      <c r="P66" s="13" t="str">
        <f>IFERROR(__xludf.DUMMYFUNCTION("IF(REGEXMATCH($B66,P$1),$D66,"""")"),"")</f>
        <v/>
      </c>
      <c r="Q66" s="13">
        <f>IFERROR(__xludf.DUMMYFUNCTION("IF($A66="""","""",LEN(REGEXREPLACE($I66,"",\s?"","""")))"),5.0)</f>
        <v>5</v>
      </c>
      <c r="S66" s="13"/>
      <c r="T66" s="13"/>
      <c r="U66" s="13"/>
      <c r="V66" s="13"/>
      <c r="W66" s="13"/>
      <c r="X66" s="13"/>
      <c r="Y66" s="13"/>
      <c r="Z66" s="13"/>
      <c r="AA66" s="13"/>
      <c r="AB66" s="13"/>
    </row>
    <row r="67" hidden="1">
      <c r="A67" s="19" t="s">
        <v>349</v>
      </c>
      <c r="B67" s="37" t="s">
        <v>11</v>
      </c>
      <c r="C67" s="18">
        <v>2.0</v>
      </c>
      <c r="D67" s="18" t="s">
        <v>350</v>
      </c>
      <c r="E67" s="19" t="s">
        <v>351</v>
      </c>
      <c r="F67" s="10" t="str">
        <f>IFERROR(__xludf.DUMMYFUNCTION("IF(REGEXMATCH($E67,""Wizard""),""Wizard "","""")&amp;IF(REGEXMATCH($E67,""Construct""),""Construct "","""")&amp;IF(REGEXMATCH($E67,""Insect""),""Insect "","""")&amp;IF(REGEXMATCH($E67,""Dragon""),""Dragon "","""")&amp;IF(REGEXMATCH($E67,""Human""),""Human "","""")&amp;IF(REG"&amp;"EXMATCH($E67,""Hunter""),""Hunter "","""")&amp;IF(REGEXMATCH($E67,""Animal""),""Animal "","""")&amp;IF(REGEXMATCH($E67,""Undead""),""Undead "","""")&amp;IF(REGEXMATCH($E67,""Plant""),""Plant "","""")&amp;IF(REGEXMATCH($E67,""Dinosaur""),""Dinosaur "","""")&amp;IF(REGEXMATCH("&amp;"$E67,""Warrior""),""Warrior "","""")&amp;IF(REGEXMATCH($E67,""Spirit""),""Spirit "","""")&amp;IF(REGEXMATCH($E67,""Angel""),""Angel "","""")&amp;IF(REGEXMATCH($E67,""Demon""),""Demon "","""")&amp;IF(REGEXMATCH($E67,""Divine""),""Divine "","""")&amp;IF(REGEXMATCH($E67,""Eleme"&amp;"ntal""),""Elemental "","""")&amp;IF(REGEXMATCH($E67,""Nature""),""Nature "","""")&amp;IF(REGEXMATCH($E67,""Mortal""),""Mortal "","""")&amp;IF(REGEXMATCH($E67,""Void""),""Void "","""")&amp;IF(REGEXMATCH($E67,""Unearth|Ambush|Ritual|unearth|ambush|ritual""),""Unearth "","""&amp;""")&amp;IF(REGEXMATCH($E67,""Unleash|Crystallize|all realms|Crystalborn|crystallize""),""Ramp "","""")&amp;IF(REGEXMATCH($E67,""Demon""),""Demon "","""")&amp;IF(REGEXMATCH($E67,""bury|buries|Bury|Buries|Cleanse|puts a Unit|trail|Trail""),""Control "","""")&amp;IF(REGEXMA"&amp;"TCH($E67,""Bounce|Return|Copy|bounce|return|copy""),""Copy "","""")&amp;IF(REGEXMATCH($E67,""conquer|Conquer|leading in lanes|lead by""),""Aggro "","""")&amp;IF(REGEXMATCH($E67,""Ascend|ascend""),""Ascend "","""")&amp;IF(REGEXMATCH($E67,""Bury .+ Crystal|.*crystal.*b"&amp;"ury""),""Empty-Crystal"","""")&amp;IF(REGEXMATCH($E67,""Move|move""),""Move"","""")"),"Ramp ")</f>
        <v>Ramp </v>
      </c>
      <c r="G67" s="20" t="s">
        <v>352</v>
      </c>
      <c r="H67" s="18">
        <v>3.0</v>
      </c>
      <c r="I67" s="18" t="s">
        <v>336</v>
      </c>
      <c r="J67" s="18" t="s">
        <v>42</v>
      </c>
      <c r="L67" s="13" t="str">
        <f>IFERROR(__xludf.DUMMYFUNCTION("IF(REGEXMATCH($B67,L$1),$D67,"""")"),"Dragon")</f>
        <v>Dragon</v>
      </c>
      <c r="M67" s="13" t="str">
        <f>IFERROR(__xludf.DUMMYFUNCTION("IF(REGEXMATCH($B67,M$1),$D67,"""")"),"")</f>
        <v/>
      </c>
      <c r="N67" s="13" t="str">
        <f>IFERROR(__xludf.DUMMYFUNCTION("IF(REGEXMATCH($B67,N$1),$D67,"""")"),"")</f>
        <v/>
      </c>
      <c r="O67" s="13" t="str">
        <f>IFERROR(__xludf.DUMMYFUNCTION("IF(REGEXMATCH($B67,O$1),$D67,"""")"),"")</f>
        <v/>
      </c>
      <c r="P67" s="13" t="str">
        <f>IFERROR(__xludf.DUMMYFUNCTION("IF(REGEXMATCH($B67,P$1),$D67,"""")"),"")</f>
        <v/>
      </c>
      <c r="Q67" s="13">
        <f>IFERROR(__xludf.DUMMYFUNCTION("IF($A67="""","""",LEN(REGEXREPLACE($I67,"",\s?"","""")))"),3.0)</f>
        <v>3</v>
      </c>
      <c r="S67" s="13"/>
      <c r="T67" s="13"/>
      <c r="U67" s="13"/>
      <c r="V67" s="13"/>
      <c r="W67" s="13"/>
      <c r="X67" s="13"/>
      <c r="Y67" s="13"/>
      <c r="Z67" s="13"/>
      <c r="AA67" s="13"/>
      <c r="AB67" s="13"/>
    </row>
    <row r="68" hidden="1">
      <c r="A68" s="22" t="s">
        <v>353</v>
      </c>
      <c r="B68" s="36" t="s">
        <v>11</v>
      </c>
      <c r="C68" s="11">
        <v>2.0</v>
      </c>
      <c r="D68" s="11" t="s">
        <v>154</v>
      </c>
      <c r="E68" s="10" t="s">
        <v>354</v>
      </c>
      <c r="F68" s="10" t="str">
        <f>IFERROR(__xludf.DUMMYFUNCTION("IF(REGEXMATCH($E68,""Wizard""),""Wizard "","""")&amp;IF(REGEXMATCH($E68,""Construct""),""Construct "","""")&amp;IF(REGEXMATCH($E68,""Insect""),""Insect "","""")&amp;IF(REGEXMATCH($E68,""Dragon""),""Dragon "","""")&amp;IF(REGEXMATCH($E68,""Human""),""Human "","""")&amp;IF(REG"&amp;"EXMATCH($E68,""Hunter""),""Hunter "","""")&amp;IF(REGEXMATCH($E68,""Animal""),""Animal "","""")&amp;IF(REGEXMATCH($E68,""Undead""),""Undead "","""")&amp;IF(REGEXMATCH($E68,""Plant""),""Plant "","""")&amp;IF(REGEXMATCH($E68,""Dinosaur""),""Dinosaur "","""")&amp;IF(REGEXMATCH("&amp;"$E68,""Warrior""),""Warrior "","""")&amp;IF(REGEXMATCH($E68,""Spirit""),""Spirit "","""")&amp;IF(REGEXMATCH($E68,""Angel""),""Angel "","""")&amp;IF(REGEXMATCH($E68,""Demon""),""Demon "","""")&amp;IF(REGEXMATCH($E68,""Divine""),""Divine "","""")&amp;IF(REGEXMATCH($E68,""Eleme"&amp;"ntal""),""Elemental "","""")&amp;IF(REGEXMATCH($E68,""Nature""),""Nature "","""")&amp;IF(REGEXMATCH($E68,""Mortal""),""Mortal "","""")&amp;IF(REGEXMATCH($E68,""Void""),""Void "","""")&amp;IF(REGEXMATCH($E68,""Unearth|Ambush|Ritual|unearth|ambush|ritual""),""Unearth "","""&amp;""")&amp;IF(REGEXMATCH($E68,""Unleash|Crystallize|all realms|Crystalborn|crystallize""),""Ramp "","""")&amp;IF(REGEXMATCH($E68,""Demon""),""Demon "","""")&amp;IF(REGEXMATCH($E68,""bury|buries|Bury|Buries|Cleanse|puts a Unit|trail|Trail""),""Control "","""")&amp;IF(REGEXMA"&amp;"TCH($E68,""Bounce|Return|Copy|bounce|return|copy""),""Copy "","""")&amp;IF(REGEXMATCH($E68,""conquer|Conquer|leading in lanes|lead by""),""Aggro "","""")&amp;IF(REGEXMATCH($E68,""Ascend|ascend""),""Ascend "","""")&amp;IF(REGEXMATCH($E68,""Bury .+ Crystal|.*crystal.*b"&amp;"ury""),""Empty-Crystal"","""")&amp;IF(REGEXMATCH($E68,""Move|move""),""Move"","""")"),"Control Move")</f>
        <v>Control Move</v>
      </c>
      <c r="G68" s="12" t="s">
        <v>355</v>
      </c>
      <c r="H68" s="11">
        <v>2.0</v>
      </c>
      <c r="I68" s="11" t="s">
        <v>356</v>
      </c>
      <c r="J68" s="11" t="s">
        <v>33</v>
      </c>
      <c r="L68" s="13" t="str">
        <f>IFERROR(__xludf.DUMMYFUNCTION("IF(REGEXMATCH($B68,L$1),$D68,"""")"),"Animal Spirit")</f>
        <v>Animal Spirit</v>
      </c>
      <c r="M68" s="13" t="str">
        <f>IFERROR(__xludf.DUMMYFUNCTION("IF(REGEXMATCH($B68,M$1),$D68,"""")"),"")</f>
        <v/>
      </c>
      <c r="N68" s="13" t="str">
        <f>IFERROR(__xludf.DUMMYFUNCTION("IF(REGEXMATCH($B68,N$1),$D68,"""")"),"")</f>
        <v/>
      </c>
      <c r="O68" s="13" t="str">
        <f>IFERROR(__xludf.DUMMYFUNCTION("IF(REGEXMATCH($B68,O$1),$D68,"""")"),"")</f>
        <v/>
      </c>
      <c r="P68" s="13" t="str">
        <f>IFERROR(__xludf.DUMMYFUNCTION("IF(REGEXMATCH($B68,P$1),$D68,"""")"),"")</f>
        <v/>
      </c>
      <c r="Q68" s="13">
        <f>IFERROR(__xludf.DUMMYFUNCTION("IF($A68="""","""",LEN(REGEXREPLACE($I68,"",\s?"","""")))"),1.0)</f>
        <v>1</v>
      </c>
      <c r="S68" s="13"/>
      <c r="T68" s="13"/>
      <c r="U68" s="13"/>
      <c r="V68" s="13"/>
      <c r="W68" s="13"/>
      <c r="X68" s="13"/>
      <c r="Y68" s="13"/>
      <c r="Z68" s="13"/>
      <c r="AA68" s="13"/>
      <c r="AB68" s="13"/>
    </row>
    <row r="69">
      <c r="A69" s="10" t="s">
        <v>357</v>
      </c>
      <c r="B69" s="10" t="s">
        <v>187</v>
      </c>
      <c r="C69" s="11">
        <v>1.0</v>
      </c>
      <c r="D69" s="11" t="s">
        <v>154</v>
      </c>
      <c r="E69" s="10" t="s">
        <v>358</v>
      </c>
      <c r="F69" s="10" t="str">
        <f>IFERROR(__xludf.DUMMYFUNCTION("IF(REGEXMATCH($E69,""Wizard""),""Wizard "","""")&amp;IF(REGEXMATCH($E69,""Construct""),""Construct "","""")&amp;IF(REGEXMATCH($E69,""Insect""),""Insect "","""")&amp;IF(REGEXMATCH($E69,""Dragon""),""Dragon "","""")&amp;IF(REGEXMATCH($E69,""Human""),""Human "","""")&amp;IF(REG"&amp;"EXMATCH($E69,""Hunter""),""Hunter "","""")&amp;IF(REGEXMATCH($E69,""Animal""),""Animal "","""")&amp;IF(REGEXMATCH($E69,""Undead""),""Undead "","""")&amp;IF(REGEXMATCH($E69,""Plant""),""Plant "","""")&amp;IF(REGEXMATCH($E69,""Dinosaur""),""Dinosaur "","""")&amp;IF(REGEXMATCH("&amp;"$E69,""Warrior""),""Warrior "","""")&amp;IF(REGEXMATCH($E69,""Spirit""),""Spirit "","""")&amp;IF(REGEXMATCH($E69,""Angel""),""Angel "","""")&amp;IF(REGEXMATCH($E69,""Demon""),""Demon "","""")&amp;IF(REGEXMATCH($E69,""Divine""),""Divine "","""")&amp;IF(REGEXMATCH($E69,""Eleme"&amp;"ntal""),""Elemental "","""")&amp;IF(REGEXMATCH($E69,""Nature""),""Nature "","""")&amp;IF(REGEXMATCH($E69,""Mortal""),""Mortal "","""")&amp;IF(REGEXMATCH($E69,""Void""),""Void "","""")&amp;IF(REGEXMATCH($E69,""Unearth|Ambush|Ritual|unearth|ambush|ritual""),""Unearth "","""&amp;""")&amp;IF(REGEXMATCH($E69,""Unleash|Crystallize|all realms|Crystalborn|crystallize""),""Ramp "","""")&amp;IF(REGEXMATCH($E69,""Demon""),""Demon "","""")&amp;IF(REGEXMATCH($E69,""bury|buries|Bury|Buries|Cleanse|puts a Unit|trail|Trail""),""Control "","""")&amp;IF(REGEXMA"&amp;"TCH($E69,""Bounce|Return|Copy|bounce|return|copy""),""Copy "","""")&amp;IF(REGEXMATCH($E69,""conquer|Conquer|leading in lanes|lead by""),""Aggro "","""")&amp;IF(REGEXMATCH($E69,""Ascend|ascend""),""Ascend "","""")&amp;IF(REGEXMATCH($E69,""Bury .+ Crystal|.*crystal.*b"&amp;"ury""),""Empty-Crystal"","""")&amp;IF(REGEXMATCH($E69,""Move|move""),""Move"","""")"),"Control ")</f>
        <v>Control </v>
      </c>
      <c r="G69" s="12" t="s">
        <v>359</v>
      </c>
      <c r="H69" s="11">
        <v>2.0</v>
      </c>
      <c r="I69" s="11" t="s">
        <v>330</v>
      </c>
      <c r="J69" s="11" t="s">
        <v>50</v>
      </c>
      <c r="L69" s="13" t="str">
        <f>IFERROR(__xludf.DUMMYFUNCTION("IF(REGEXMATCH($B69,L$1),$D69,"""")"),"Animal Spirit")</f>
        <v>Animal Spirit</v>
      </c>
      <c r="M69" s="13" t="str">
        <f>IFERROR(__xludf.DUMMYFUNCTION("IF(REGEXMATCH($B69,M$1),$D69,"""")"),"")</f>
        <v/>
      </c>
      <c r="N69" s="13" t="str">
        <f>IFERROR(__xludf.DUMMYFUNCTION("IF(REGEXMATCH($B69,N$1),$D69,"""")"),"")</f>
        <v/>
      </c>
      <c r="O69" s="13" t="str">
        <f>IFERROR(__xludf.DUMMYFUNCTION("IF(REGEXMATCH($B69,O$1),$D69,"""")"),"")</f>
        <v/>
      </c>
      <c r="P69" s="13" t="str">
        <f>IFERROR(__xludf.DUMMYFUNCTION("IF(REGEXMATCH($B69,P$1),$D69,"""")"),"Animal Spirit")</f>
        <v>Animal Spirit</v>
      </c>
      <c r="Q69" s="13">
        <f>IFERROR(__xludf.DUMMYFUNCTION("IF($A69="""","""",LEN(REGEXREPLACE($I69,"",\s?"","""")))"),2.0)</f>
        <v>2</v>
      </c>
      <c r="R69" s="14" t="s">
        <v>360</v>
      </c>
      <c r="S69" s="15" t="s">
        <v>361</v>
      </c>
      <c r="T69" s="13"/>
      <c r="U69" s="13"/>
      <c r="V69" s="13"/>
      <c r="W69" s="13"/>
      <c r="X69" s="13"/>
      <c r="Y69" s="13"/>
      <c r="Z69" s="13"/>
      <c r="AA69" s="13"/>
      <c r="AB69" s="13"/>
    </row>
    <row r="70" hidden="1">
      <c r="A70" s="19" t="s">
        <v>362</v>
      </c>
      <c r="B70" s="38" t="s">
        <v>11</v>
      </c>
      <c r="C70" s="18">
        <v>2.0</v>
      </c>
      <c r="D70" s="18" t="s">
        <v>363</v>
      </c>
      <c r="E70" s="19" t="s">
        <v>364</v>
      </c>
      <c r="F70" s="10" t="str">
        <f>IFERROR(__xludf.DUMMYFUNCTION("IF(REGEXMATCH($E70,""Wizard""),""Wizard "","""")&amp;IF(REGEXMATCH($E70,""Construct""),""Construct "","""")&amp;IF(REGEXMATCH($E70,""Insect""),""Insect "","""")&amp;IF(REGEXMATCH($E70,""Dragon""),""Dragon "","""")&amp;IF(REGEXMATCH($E70,""Human""),""Human "","""")&amp;IF(REG"&amp;"EXMATCH($E70,""Hunter""),""Hunter "","""")&amp;IF(REGEXMATCH($E70,""Animal""),""Animal "","""")&amp;IF(REGEXMATCH($E70,""Undead""),""Undead "","""")&amp;IF(REGEXMATCH($E70,""Plant""),""Plant "","""")&amp;IF(REGEXMATCH($E70,""Dinosaur""),""Dinosaur "","""")&amp;IF(REGEXMATCH("&amp;"$E70,""Warrior""),""Warrior "","""")&amp;IF(REGEXMATCH($E70,""Spirit""),""Spirit "","""")&amp;IF(REGEXMATCH($E70,""Angel""),""Angel "","""")&amp;IF(REGEXMATCH($E70,""Demon""),""Demon "","""")&amp;IF(REGEXMATCH($E70,""Divine""),""Divine "","""")&amp;IF(REGEXMATCH($E70,""Eleme"&amp;"ntal""),""Elemental "","""")&amp;IF(REGEXMATCH($E70,""Nature""),""Nature "","""")&amp;IF(REGEXMATCH($E70,""Mortal""),""Mortal "","""")&amp;IF(REGEXMATCH($E70,""Void""),""Void "","""")&amp;IF(REGEXMATCH($E70,""Unearth|Ambush|Ritual|unearth|ambush|ritual""),""Unearth "","""&amp;""")&amp;IF(REGEXMATCH($E70,""Unleash|Crystallize|all realms|Crystalborn|crystallize""),""Ramp "","""")&amp;IF(REGEXMATCH($E70,""Demon""),""Demon "","""")&amp;IF(REGEXMATCH($E70,""bury|buries|Bury|Buries|Cleanse|puts a Unit|trail|Trail""),""Control "","""")&amp;IF(REGEXMA"&amp;"TCH($E70,""Bounce|Return|Copy|bounce|return|copy""),""Copy "","""")&amp;IF(REGEXMATCH($E70,""conquer|Conquer|leading in lanes|lead by""),""Aggro "","""")&amp;IF(REGEXMATCH($E70,""Ascend|ascend""),""Ascend "","""")&amp;IF(REGEXMATCH($E70,""Bury .+ Crystal|.*crystal.*b"&amp;"ury""),""Empty-Crystal"","""")&amp;IF(REGEXMATCH($E70,""Move|move""),""Move"","""")"),"Dragon Ascend ")</f>
        <v>Dragon Ascend </v>
      </c>
      <c r="G70" s="20" t="s">
        <v>365</v>
      </c>
      <c r="H70" s="18">
        <v>3.0</v>
      </c>
      <c r="I70" s="18" t="s">
        <v>336</v>
      </c>
      <c r="J70" s="18" t="s">
        <v>42</v>
      </c>
      <c r="L70" s="13" t="str">
        <f>IFERROR(__xludf.DUMMYFUNCTION("IF(REGEXMATCH($B70,L$1),$D70,"""")"),"Human Warrior")</f>
        <v>Human Warrior</v>
      </c>
      <c r="M70" s="13" t="str">
        <f>IFERROR(__xludf.DUMMYFUNCTION("IF(REGEXMATCH($B70,M$1),$D70,"""")"),"")</f>
        <v/>
      </c>
      <c r="N70" s="13" t="str">
        <f>IFERROR(__xludf.DUMMYFUNCTION("IF(REGEXMATCH($B70,N$1),$D70,"""")"),"")</f>
        <v/>
      </c>
      <c r="O70" s="13" t="str">
        <f>IFERROR(__xludf.DUMMYFUNCTION("IF(REGEXMATCH($B70,O$1),$D70,"""")"),"")</f>
        <v/>
      </c>
      <c r="P70" s="13" t="str">
        <f>IFERROR(__xludf.DUMMYFUNCTION("IF(REGEXMATCH($B70,P$1),$D70,"""")"),"")</f>
        <v/>
      </c>
      <c r="Q70" s="13">
        <f>IFERROR(__xludf.DUMMYFUNCTION("IF($A70="""","""",LEN(REGEXREPLACE($I70,"",\s?"","""")))"),3.0)</f>
        <v>3</v>
      </c>
      <c r="S70" s="13"/>
      <c r="T70" s="13"/>
      <c r="U70" s="13"/>
      <c r="V70" s="13"/>
      <c r="W70" s="13"/>
      <c r="X70" s="13"/>
      <c r="Y70" s="13"/>
      <c r="Z70" s="13"/>
      <c r="AA70" s="13"/>
      <c r="AB70" s="13"/>
    </row>
    <row r="71" hidden="1">
      <c r="A71" s="19" t="s">
        <v>366</v>
      </c>
      <c r="B71" s="34" t="s">
        <v>11</v>
      </c>
      <c r="C71" s="18">
        <v>2.0</v>
      </c>
      <c r="D71" s="18" t="s">
        <v>367</v>
      </c>
      <c r="E71" s="19" t="s">
        <v>368</v>
      </c>
      <c r="F71" s="10" t="str">
        <f>IFERROR(__xludf.DUMMYFUNCTION("IF(REGEXMATCH($E71,""Wizard""),""Wizard "","""")&amp;IF(REGEXMATCH($E71,""Construct""),""Construct "","""")&amp;IF(REGEXMATCH($E71,""Insect""),""Insect "","""")&amp;IF(REGEXMATCH($E71,""Dragon""),""Dragon "","""")&amp;IF(REGEXMATCH($E71,""Human""),""Human "","""")&amp;IF(REG"&amp;"EXMATCH($E71,""Hunter""),""Hunter "","""")&amp;IF(REGEXMATCH($E71,""Animal""),""Animal "","""")&amp;IF(REGEXMATCH($E71,""Undead""),""Undead "","""")&amp;IF(REGEXMATCH($E71,""Plant""),""Plant "","""")&amp;IF(REGEXMATCH($E71,""Dinosaur""),""Dinosaur "","""")&amp;IF(REGEXMATCH("&amp;"$E71,""Warrior""),""Warrior "","""")&amp;IF(REGEXMATCH($E71,""Spirit""),""Spirit "","""")&amp;IF(REGEXMATCH($E71,""Angel""),""Angel "","""")&amp;IF(REGEXMATCH($E71,""Demon""),""Demon "","""")&amp;IF(REGEXMATCH($E71,""Divine""),""Divine "","""")&amp;IF(REGEXMATCH($E71,""Eleme"&amp;"ntal""),""Elemental "","""")&amp;IF(REGEXMATCH($E71,""Nature""),""Nature "","""")&amp;IF(REGEXMATCH($E71,""Mortal""),""Mortal "","""")&amp;IF(REGEXMATCH($E71,""Void""),""Void "","""")&amp;IF(REGEXMATCH($E71,""Unearth|Ambush|Ritual|unearth|ambush|ritual""),""Unearth "","""&amp;""")&amp;IF(REGEXMATCH($E71,""Unleash|Crystallize|all realms|Crystalborn|crystallize""),""Ramp "","""")&amp;IF(REGEXMATCH($E71,""Demon""),""Demon "","""")&amp;IF(REGEXMATCH($E71,""bury|buries|Bury|Buries|Cleanse|puts a Unit|trail|Trail""),""Control "","""")&amp;IF(REGEXMA"&amp;"TCH($E71,""Bounce|Return|Copy|bounce|return|copy""),""Copy "","""")&amp;IF(REGEXMATCH($E71,""conquer|Conquer|leading in lanes|lead by""),""Aggro "","""")&amp;IF(REGEXMATCH($E71,""Ascend|ascend""),""Ascend "","""")&amp;IF(REGEXMATCH($E71,""Bury .+ Crystal|.*crystal.*b"&amp;"ury""),""Empty-Crystal"","""")&amp;IF(REGEXMATCH($E71,""Move|move""),""Move"","""")"),"Spirit Ramp ")</f>
        <v>Spirit Ramp </v>
      </c>
      <c r="G71" s="39" t="s">
        <v>369</v>
      </c>
      <c r="H71" s="11">
        <v>3.0</v>
      </c>
      <c r="I71" s="11" t="s">
        <v>370</v>
      </c>
      <c r="J71" s="11" t="s">
        <v>33</v>
      </c>
      <c r="L71" s="13" t="str">
        <f>IFERROR(__xludf.DUMMYFUNCTION("IF(REGEXMATCH($B71,L$1),$D71,"""")"),"Spirit Undead")</f>
        <v>Spirit Undead</v>
      </c>
      <c r="M71" s="13" t="str">
        <f>IFERROR(__xludf.DUMMYFUNCTION("IF(REGEXMATCH($B71,M$1),$D71,"""")"),"")</f>
        <v/>
      </c>
      <c r="N71" s="13" t="str">
        <f>IFERROR(__xludf.DUMMYFUNCTION("IF(REGEXMATCH($B71,N$1),$D71,"""")"),"")</f>
        <v/>
      </c>
      <c r="O71" s="13" t="str">
        <f>IFERROR(__xludf.DUMMYFUNCTION("IF(REGEXMATCH($B71,O$1),$D71,"""")"),"")</f>
        <v/>
      </c>
      <c r="P71" s="13" t="str">
        <f>IFERROR(__xludf.DUMMYFUNCTION("IF(REGEXMATCH($B71,P$1),$D71,"""")"),"")</f>
        <v/>
      </c>
      <c r="Q71" s="13">
        <f>IFERROR(__xludf.DUMMYFUNCTION("IF($A71="""","""",LEN(REGEXREPLACE($I71,"",\s?"","""")))"),3.0)</f>
        <v>3</v>
      </c>
      <c r="S71" s="13"/>
      <c r="T71" s="13"/>
      <c r="U71" s="13"/>
      <c r="V71" s="13"/>
      <c r="W71" s="13"/>
      <c r="X71" s="13"/>
      <c r="Y71" s="13"/>
      <c r="Z71" s="13"/>
      <c r="AA71" s="13"/>
      <c r="AB71" s="13"/>
    </row>
    <row r="72">
      <c r="A72" s="10" t="s">
        <v>371</v>
      </c>
      <c r="B72" s="10" t="s">
        <v>220</v>
      </c>
      <c r="C72" s="11">
        <v>1.0</v>
      </c>
      <c r="D72" s="11" t="s">
        <v>372</v>
      </c>
      <c r="E72" s="10"/>
      <c r="F72" s="10" t="str">
        <f>IFERROR(__xludf.DUMMYFUNCTION("IF(REGEXMATCH($E72,""Wizard""),""Wizard "","""")&amp;IF(REGEXMATCH($E72,""Construct""),""Construct "","""")&amp;IF(REGEXMATCH($E72,""Insect""),""Insect "","""")&amp;IF(REGEXMATCH($E72,""Dragon""),""Dragon "","""")&amp;IF(REGEXMATCH($E72,""Human""),""Human "","""")&amp;IF(REG"&amp;"EXMATCH($E72,""Hunter""),""Hunter "","""")&amp;IF(REGEXMATCH($E72,""Animal""),""Animal "","""")&amp;IF(REGEXMATCH($E72,""Undead""),""Undead "","""")&amp;IF(REGEXMATCH($E72,""Plant""),""Plant "","""")&amp;IF(REGEXMATCH($E72,""Dinosaur""),""Dinosaur "","""")&amp;IF(REGEXMATCH("&amp;"$E72,""Warrior""),""Warrior "","""")&amp;IF(REGEXMATCH($E72,""Spirit""),""Spirit "","""")&amp;IF(REGEXMATCH($E72,""Angel""),""Angel "","""")&amp;IF(REGEXMATCH($E72,""Demon""),""Demon "","""")&amp;IF(REGEXMATCH($E72,""Divine""),""Divine "","""")&amp;IF(REGEXMATCH($E72,""Eleme"&amp;"ntal""),""Elemental "","""")&amp;IF(REGEXMATCH($E72,""Nature""),""Nature "","""")&amp;IF(REGEXMATCH($E72,""Mortal""),""Mortal "","""")&amp;IF(REGEXMATCH($E72,""Void""),""Void "","""")&amp;IF(REGEXMATCH($E72,""Unearth|Ambush|Ritual|unearth|ambush|ritual""),""Unearth "","""&amp;""")&amp;IF(REGEXMATCH($E72,""Unleash|Crystallize|all realms|Crystalborn|crystallize""),""Ramp "","""")&amp;IF(REGEXMATCH($E72,""Demon""),""Demon "","""")&amp;IF(REGEXMATCH($E72,""bury|buries|Bury|Buries|Cleanse|puts a Unit|trail|Trail""),""Control "","""")&amp;IF(REGEXMA"&amp;"TCH($E72,""Bounce|Return|Copy|bounce|return|copy""),""Copy "","""")&amp;IF(REGEXMATCH($E72,""conquer|Conquer|leading in lanes|lead by""),""Aggro "","""")&amp;IF(REGEXMATCH($E72,""Ascend|ascend""),""Ascend "","""")&amp;IF(REGEXMATCH($E72,""Bury .+ Crystal|.*crystal.*b"&amp;"ury""),""Empty-Crystal"","""")&amp;IF(REGEXMATCH($E72,""Move|move""),""Move"","""")"),"")</f>
        <v/>
      </c>
      <c r="G72" s="12" t="s">
        <v>373</v>
      </c>
      <c r="H72" s="11">
        <v>2.0</v>
      </c>
      <c r="I72" s="11" t="s">
        <v>374</v>
      </c>
      <c r="J72" s="11" t="s">
        <v>42</v>
      </c>
      <c r="L72" s="13" t="str">
        <f>IFERROR(__xludf.DUMMYFUNCTION("IF(REGEXMATCH($B72,L$1),$D72,"""")"),"")</f>
        <v/>
      </c>
      <c r="M72" s="13" t="str">
        <f>IFERROR(__xludf.DUMMYFUNCTION("IF(REGEXMATCH($B72,M$1),$D72,"""")"),"")</f>
        <v/>
      </c>
      <c r="N72" s="13" t="str">
        <f>IFERROR(__xludf.DUMMYFUNCTION("IF(REGEXMATCH($B72,N$1),$D72,"""")"),"")</f>
        <v/>
      </c>
      <c r="O72" s="13" t="str">
        <f>IFERROR(__xludf.DUMMYFUNCTION("IF(REGEXMATCH($B72,O$1),$D72,"""")"),"Bannerbearer Spirit Warrior")</f>
        <v>Bannerbearer Spirit Warrior</v>
      </c>
      <c r="P72" s="13" t="str">
        <f>IFERROR(__xludf.DUMMYFUNCTION("IF(REGEXMATCH($B72,P$1),$D72,"""")"),"Bannerbearer Spirit Warrior")</f>
        <v>Bannerbearer Spirit Warrior</v>
      </c>
      <c r="Q72" s="13">
        <f>IFERROR(__xludf.DUMMYFUNCTION("IF($A72="""","""",LEN(REGEXREPLACE($I72,"",\s?"","""")))"),2.0)</f>
        <v>2</v>
      </c>
      <c r="R72" s="14" t="s">
        <v>375</v>
      </c>
      <c r="S72" s="15" t="s">
        <v>376</v>
      </c>
      <c r="T72" s="13"/>
      <c r="U72" s="13"/>
      <c r="V72" s="13"/>
      <c r="W72" s="13"/>
      <c r="X72" s="13"/>
      <c r="Y72" s="13"/>
      <c r="Z72" s="13"/>
      <c r="AA72" s="13"/>
      <c r="AB72" s="13"/>
    </row>
    <row r="73">
      <c r="A73" s="19" t="s">
        <v>377</v>
      </c>
      <c r="B73" s="19" t="s">
        <v>220</v>
      </c>
      <c r="C73" s="18">
        <v>1.0</v>
      </c>
      <c r="D73" s="18" t="s">
        <v>272</v>
      </c>
      <c r="E73" s="19" t="s">
        <v>378</v>
      </c>
      <c r="F73" s="10" t="str">
        <f>IFERROR(__xludf.DUMMYFUNCTION("IF(REGEXMATCH($E73,""Wizard""),""Wizard "","""")&amp;IF(REGEXMATCH($E73,""Construct""),""Construct "","""")&amp;IF(REGEXMATCH($E73,""Insect""),""Insect "","""")&amp;IF(REGEXMATCH($E73,""Dragon""),""Dragon "","""")&amp;IF(REGEXMATCH($E73,""Human""),""Human "","""")&amp;IF(REG"&amp;"EXMATCH($E73,""Hunter""),""Hunter "","""")&amp;IF(REGEXMATCH($E73,""Animal""),""Animal "","""")&amp;IF(REGEXMATCH($E73,""Undead""),""Undead "","""")&amp;IF(REGEXMATCH($E73,""Plant""),""Plant "","""")&amp;IF(REGEXMATCH($E73,""Dinosaur""),""Dinosaur "","""")&amp;IF(REGEXMATCH("&amp;"$E73,""Warrior""),""Warrior "","""")&amp;IF(REGEXMATCH($E73,""Spirit""),""Spirit "","""")&amp;IF(REGEXMATCH($E73,""Angel""),""Angel "","""")&amp;IF(REGEXMATCH($E73,""Demon""),""Demon "","""")&amp;IF(REGEXMATCH($E73,""Divine""),""Divine "","""")&amp;IF(REGEXMATCH($E73,""Eleme"&amp;"ntal""),""Elemental "","""")&amp;IF(REGEXMATCH($E73,""Nature""),""Nature "","""")&amp;IF(REGEXMATCH($E73,""Mortal""),""Mortal "","""")&amp;IF(REGEXMATCH($E73,""Void""),""Void "","""")&amp;IF(REGEXMATCH($E73,""Unearth|Ambush|Ritual|unearth|ambush|ritual""),""Unearth "","""&amp;""")&amp;IF(REGEXMATCH($E73,""Unleash|Crystallize|all realms|Crystalborn|crystallize""),""Ramp "","""")&amp;IF(REGEXMATCH($E73,""Demon""),""Demon "","""")&amp;IF(REGEXMATCH($E73,""bury|buries|Bury|Buries|Cleanse|puts a Unit|trail|Trail""),""Control "","""")&amp;IF(REGEXMA"&amp;"TCH($E73,""Bounce|Return|Copy|bounce|return|copy""),""Copy "","""")&amp;IF(REGEXMATCH($E73,""conquer|Conquer|leading in lanes|lead by""),""Aggro "","""")&amp;IF(REGEXMATCH($E73,""Ascend|ascend""),""Ascend "","""")&amp;IF(REGEXMATCH($E73,""Bury .+ Crystal|.*crystal.*b"&amp;"ury""),""Empty-Crystal"","""")&amp;IF(REGEXMATCH($E73,""Move|move""),""Move"","""")"),"Ramp Aggro ")</f>
        <v>Ramp Aggro </v>
      </c>
      <c r="G73" s="20" t="s">
        <v>379</v>
      </c>
      <c r="H73" s="18">
        <v>4.0</v>
      </c>
      <c r="I73" s="18" t="s">
        <v>380</v>
      </c>
      <c r="J73" s="18" t="s">
        <v>33</v>
      </c>
      <c r="L73" s="13" t="str">
        <f>IFERROR(__xludf.DUMMYFUNCTION("IF(REGEXMATCH($B73,L$1),$D73,"""")"),"")</f>
        <v/>
      </c>
      <c r="M73" s="13" t="str">
        <f>IFERROR(__xludf.DUMMYFUNCTION("IF(REGEXMATCH($B73,M$1),$D73,"""")"),"")</f>
        <v/>
      </c>
      <c r="N73" s="13" t="str">
        <f>IFERROR(__xludf.DUMMYFUNCTION("IF(REGEXMATCH($B73,N$1),$D73,"""")"),"")</f>
        <v/>
      </c>
      <c r="O73" s="13" t="str">
        <f>IFERROR(__xludf.DUMMYFUNCTION("IF(REGEXMATCH($B73,O$1),$D73,"""")"),"Construct Warrior")</f>
        <v>Construct Warrior</v>
      </c>
      <c r="P73" s="13" t="str">
        <f>IFERROR(__xludf.DUMMYFUNCTION("IF(REGEXMATCH($B73,P$1),$D73,"""")"),"Construct Warrior")</f>
        <v>Construct Warrior</v>
      </c>
      <c r="Q73" s="13">
        <f>IFERROR(__xludf.DUMMYFUNCTION("IF($A73="""","""",LEN(REGEXREPLACE($I73,"",\s?"","""")))"),5.0)</f>
        <v>5</v>
      </c>
      <c r="R73" s="14" t="s">
        <v>381</v>
      </c>
      <c r="S73" s="15" t="s">
        <v>382</v>
      </c>
      <c r="T73" s="13"/>
      <c r="U73" s="13"/>
      <c r="V73" s="13"/>
      <c r="W73" s="13"/>
      <c r="X73" s="13"/>
      <c r="Y73" s="13"/>
      <c r="Z73" s="13"/>
      <c r="AA73" s="13"/>
      <c r="AB73" s="13"/>
    </row>
    <row r="74">
      <c r="A74" s="10" t="s">
        <v>383</v>
      </c>
      <c r="B74" s="10" t="s">
        <v>220</v>
      </c>
      <c r="C74" s="11">
        <v>1.0</v>
      </c>
      <c r="D74" s="11" t="s">
        <v>345</v>
      </c>
      <c r="E74" s="10" t="s">
        <v>384</v>
      </c>
      <c r="F74" s="10" t="str">
        <f>IFERROR(__xludf.DUMMYFUNCTION("IF(REGEXMATCH($E74,""Wizard""),""Wizard "","""")&amp;IF(REGEXMATCH($E74,""Construct""),""Construct "","""")&amp;IF(REGEXMATCH($E74,""Insect""),""Insect "","""")&amp;IF(REGEXMATCH($E74,""Dragon""),""Dragon "","""")&amp;IF(REGEXMATCH($E74,""Human""),""Human "","""")&amp;IF(REG"&amp;"EXMATCH($E74,""Hunter""),""Hunter "","""")&amp;IF(REGEXMATCH($E74,""Animal""),""Animal "","""")&amp;IF(REGEXMATCH($E74,""Undead""),""Undead "","""")&amp;IF(REGEXMATCH($E74,""Plant""),""Plant "","""")&amp;IF(REGEXMATCH($E74,""Dinosaur""),""Dinosaur "","""")&amp;IF(REGEXMATCH("&amp;"$E74,""Warrior""),""Warrior "","""")&amp;IF(REGEXMATCH($E74,""Spirit""),""Spirit "","""")&amp;IF(REGEXMATCH($E74,""Angel""),""Angel "","""")&amp;IF(REGEXMATCH($E74,""Demon""),""Demon "","""")&amp;IF(REGEXMATCH($E74,""Divine""),""Divine "","""")&amp;IF(REGEXMATCH($E74,""Eleme"&amp;"ntal""),""Elemental "","""")&amp;IF(REGEXMATCH($E74,""Nature""),""Nature "","""")&amp;IF(REGEXMATCH($E74,""Mortal""),""Mortal "","""")&amp;IF(REGEXMATCH($E74,""Void""),""Void "","""")&amp;IF(REGEXMATCH($E74,""Unearth|Ambush|Ritual|unearth|ambush|ritual""),""Unearth "","""&amp;""")&amp;IF(REGEXMATCH($E74,""Unleash|Crystallize|all realms|Crystalborn|crystallize""),""Ramp "","""")&amp;IF(REGEXMATCH($E74,""Demon""),""Demon "","""")&amp;IF(REGEXMATCH($E74,""bury|buries|Bury|Buries|Cleanse|puts a Unit|trail|Trail""),""Control "","""")&amp;IF(REGEXMA"&amp;"TCH($E74,""Bounce|Return|Copy|bounce|return|copy""),""Copy "","""")&amp;IF(REGEXMATCH($E74,""conquer|Conquer|leading in lanes|lead by""),""Aggro "","""")&amp;IF(REGEXMATCH($E74,""Ascend|ascend""),""Ascend "","""")&amp;IF(REGEXMATCH($E74,""Bury .+ Crystal|.*crystal.*b"&amp;"ury""),""Empty-Crystal"","""")&amp;IF(REGEXMATCH($E74,""Move|move""),""Move"","""")"),"Unearth Control ")</f>
        <v>Unearth Control </v>
      </c>
      <c r="G74" s="12" t="s">
        <v>385</v>
      </c>
      <c r="H74" s="11">
        <v>3.0</v>
      </c>
      <c r="I74" s="11" t="s">
        <v>238</v>
      </c>
      <c r="J74" s="11" t="s">
        <v>50</v>
      </c>
      <c r="L74" s="13" t="str">
        <f>IFERROR(__xludf.DUMMYFUNCTION("IF(REGEXMATCH($B74,L$1),$D74,"""")"),"")</f>
        <v/>
      </c>
      <c r="M74" s="13" t="str">
        <f>IFERROR(__xludf.DUMMYFUNCTION("IF(REGEXMATCH($B74,M$1),$D74,"""")"),"")</f>
        <v/>
      </c>
      <c r="N74" s="13" t="str">
        <f>IFERROR(__xludf.DUMMYFUNCTION("IF(REGEXMATCH($B74,N$1),$D74,"""")"),"")</f>
        <v/>
      </c>
      <c r="O74" s="13" t="str">
        <f>IFERROR(__xludf.DUMMYFUNCTION("IF(REGEXMATCH($B74,O$1),$D74,"""")"),"Human Wizard")</f>
        <v>Human Wizard</v>
      </c>
      <c r="P74" s="13" t="str">
        <f>IFERROR(__xludf.DUMMYFUNCTION("IF(REGEXMATCH($B74,P$1),$D74,"""")"),"Human Wizard")</f>
        <v>Human Wizard</v>
      </c>
      <c r="Q74" s="13">
        <f>IFERROR(__xludf.DUMMYFUNCTION("IF($A74="""","""",LEN(REGEXREPLACE($I74,"",\s?"","""")))"),4.0)</f>
        <v>4</v>
      </c>
      <c r="R74" s="14" t="s">
        <v>386</v>
      </c>
      <c r="S74" s="15" t="s">
        <v>387</v>
      </c>
      <c r="T74" s="13"/>
      <c r="U74" s="13"/>
      <c r="V74" s="13"/>
      <c r="W74" s="13"/>
      <c r="X74" s="13"/>
      <c r="Y74" s="13"/>
      <c r="Z74" s="13"/>
      <c r="AA74" s="13"/>
      <c r="AB74" s="13"/>
    </row>
    <row r="75" hidden="1">
      <c r="A75" s="10" t="s">
        <v>388</v>
      </c>
      <c r="B75" s="40" t="s">
        <v>11</v>
      </c>
      <c r="C75" s="11">
        <v>2.0</v>
      </c>
      <c r="D75" s="11" t="s">
        <v>389</v>
      </c>
      <c r="E75" s="19" t="s">
        <v>390</v>
      </c>
      <c r="F75" s="10" t="str">
        <f>IFERROR(__xludf.DUMMYFUNCTION("IF(REGEXMATCH($E75,""Wizard""),""Wizard "","""")&amp;IF(REGEXMATCH($E75,""Construct""),""Construct "","""")&amp;IF(REGEXMATCH($E75,""Insect""),""Insect "","""")&amp;IF(REGEXMATCH($E75,""Dragon""),""Dragon "","""")&amp;IF(REGEXMATCH($E75,""Human""),""Human "","""")&amp;IF(REG"&amp;"EXMATCH($E75,""Hunter""),""Hunter "","""")&amp;IF(REGEXMATCH($E75,""Animal""),""Animal "","""")&amp;IF(REGEXMATCH($E75,""Undead""),""Undead "","""")&amp;IF(REGEXMATCH($E75,""Plant""),""Plant "","""")&amp;IF(REGEXMATCH($E75,""Dinosaur""),""Dinosaur "","""")&amp;IF(REGEXMATCH("&amp;"$E75,""Warrior""),""Warrior "","""")&amp;IF(REGEXMATCH($E75,""Spirit""),""Spirit "","""")&amp;IF(REGEXMATCH($E75,""Angel""),""Angel "","""")&amp;IF(REGEXMATCH($E75,""Demon""),""Demon "","""")&amp;IF(REGEXMATCH($E75,""Divine""),""Divine "","""")&amp;IF(REGEXMATCH($E75,""Eleme"&amp;"ntal""),""Elemental "","""")&amp;IF(REGEXMATCH($E75,""Nature""),""Nature "","""")&amp;IF(REGEXMATCH($E75,""Mortal""),""Mortal "","""")&amp;IF(REGEXMATCH($E75,""Void""),""Void "","""")&amp;IF(REGEXMATCH($E75,""Unearth|Ambush|Ritual|unearth|ambush|ritual""),""Unearth "","""&amp;""")&amp;IF(REGEXMATCH($E75,""Unleash|Crystallize|all realms|Crystalborn|crystallize""),""Ramp "","""")&amp;IF(REGEXMATCH($E75,""Demon""),""Demon "","""")&amp;IF(REGEXMATCH($E75,""bury|buries|Bury|Buries|Cleanse|puts a Unit|trail|Trail""),""Control "","""")&amp;IF(REGEXMA"&amp;"TCH($E75,""Bounce|Return|Copy|bounce|return|copy""),""Copy "","""")&amp;IF(REGEXMATCH($E75,""conquer|Conquer|leading in lanes|lead by""),""Aggro "","""")&amp;IF(REGEXMATCH($E75,""Ascend|ascend""),""Ascend "","""")&amp;IF(REGEXMATCH($E75,""Bury .+ Crystal|.*crystal.*b"&amp;"ury""),""Empty-Crystal"","""")&amp;IF(REGEXMATCH($E75,""Move|move""),""Move"","""")"),"Dragon Control ")</f>
        <v>Dragon Control </v>
      </c>
      <c r="G75" s="41" t="s">
        <v>391</v>
      </c>
      <c r="H75" s="11">
        <v>3.0</v>
      </c>
      <c r="I75" s="11" t="s">
        <v>392</v>
      </c>
      <c r="J75" s="11" t="s">
        <v>33</v>
      </c>
      <c r="L75" s="13" t="str">
        <f>IFERROR(__xludf.DUMMYFUNCTION("IF(REGEXMATCH($B75,L$1),$D75,"""")"),"Dragon Wizard")</f>
        <v>Dragon Wizard</v>
      </c>
      <c r="M75" s="13" t="str">
        <f>IFERROR(__xludf.DUMMYFUNCTION("IF(REGEXMATCH($B75,M$1),$D75,"""")"),"")</f>
        <v/>
      </c>
      <c r="N75" s="13" t="str">
        <f>IFERROR(__xludf.DUMMYFUNCTION("IF(REGEXMATCH($B75,N$1),$D75,"""")"),"")</f>
        <v/>
      </c>
      <c r="O75" s="13" t="str">
        <f>IFERROR(__xludf.DUMMYFUNCTION("IF(REGEXMATCH($B75,O$1),$D75,"""")"),"")</f>
        <v/>
      </c>
      <c r="P75" s="13" t="str">
        <f>IFERROR(__xludf.DUMMYFUNCTION("IF(REGEXMATCH($B75,P$1),$D75,"""")"),"")</f>
        <v/>
      </c>
      <c r="Q75" s="13">
        <f>IFERROR(__xludf.DUMMYFUNCTION("IF($A75="""","""",LEN(REGEXREPLACE($I75,"",\s?"","""")))"),4.0)</f>
        <v>4</v>
      </c>
      <c r="S75" s="13"/>
      <c r="T75" s="13"/>
      <c r="U75" s="13"/>
      <c r="V75" s="13"/>
      <c r="W75" s="13"/>
      <c r="X75" s="13"/>
      <c r="Y75" s="13"/>
      <c r="Z75" s="13"/>
      <c r="AA75" s="13"/>
      <c r="AB75" s="13"/>
    </row>
    <row r="76">
      <c r="A76" s="10" t="s">
        <v>393</v>
      </c>
      <c r="B76" s="10" t="s">
        <v>278</v>
      </c>
      <c r="C76" s="18">
        <v>1.0</v>
      </c>
      <c r="D76" s="11" t="s">
        <v>394</v>
      </c>
      <c r="E76" s="10" t="s">
        <v>395</v>
      </c>
      <c r="F76" s="10" t="str">
        <f>IFERROR(__xludf.DUMMYFUNCTION("IF(REGEXMATCH($E76,""Wizard""),""Wizard "","""")&amp;IF(REGEXMATCH($E76,""Construct""),""Construct "","""")&amp;IF(REGEXMATCH($E76,""Insect""),""Insect "","""")&amp;IF(REGEXMATCH($E76,""Dragon""),""Dragon "","""")&amp;IF(REGEXMATCH($E76,""Human""),""Human "","""")&amp;IF(REG"&amp;"EXMATCH($E76,""Hunter""),""Hunter "","""")&amp;IF(REGEXMATCH($E76,""Animal""),""Animal "","""")&amp;IF(REGEXMATCH($E76,""Undead""),""Undead "","""")&amp;IF(REGEXMATCH($E76,""Plant""),""Plant "","""")&amp;IF(REGEXMATCH($E76,""Dinosaur""),""Dinosaur "","""")&amp;IF(REGEXMATCH("&amp;"$E76,""Warrior""),""Warrior "","""")&amp;IF(REGEXMATCH($E76,""Spirit""),""Spirit "","""")&amp;IF(REGEXMATCH($E76,""Angel""),""Angel "","""")&amp;IF(REGEXMATCH($E76,""Demon""),""Demon "","""")&amp;IF(REGEXMATCH($E76,""Divine""),""Divine "","""")&amp;IF(REGEXMATCH($E76,""Eleme"&amp;"ntal""),""Elemental "","""")&amp;IF(REGEXMATCH($E76,""Nature""),""Nature "","""")&amp;IF(REGEXMATCH($E76,""Mortal""),""Mortal "","""")&amp;IF(REGEXMATCH($E76,""Void""),""Void "","""")&amp;IF(REGEXMATCH($E76,""Unearth|Ambush|Ritual|unearth|ambush|ritual""),""Unearth "","""&amp;""")&amp;IF(REGEXMATCH($E76,""Unleash|Crystallize|all realms|Crystalborn|crystallize""),""Ramp "","""")&amp;IF(REGEXMATCH($E76,""Demon""),""Demon "","""")&amp;IF(REGEXMATCH($E76,""bury|buries|Bury|Buries|Cleanse|puts a Unit|trail|Trail""),""Control "","""")&amp;IF(REGEXMA"&amp;"TCH($E76,""Bounce|Return|Copy|bounce|return|copy""),""Copy "","""")&amp;IF(REGEXMATCH($E76,""conquer|Conquer|leading in lanes|lead by""),""Aggro "","""")&amp;IF(REGEXMATCH($E76,""Ascend|ascend""),""Ascend "","""")&amp;IF(REGEXMATCH($E76,""Bury .+ Crystal|.*crystal.*b"&amp;"ury""),""Empty-Crystal"","""")&amp;IF(REGEXMATCH($E76,""Move|move""),""Move"","""")"),"Ramp ")</f>
        <v>Ramp </v>
      </c>
      <c r="G76" s="12" t="s">
        <v>396</v>
      </c>
      <c r="H76" s="11">
        <v>0.0</v>
      </c>
      <c r="I76" s="11" t="s">
        <v>397</v>
      </c>
      <c r="J76" s="11" t="s">
        <v>33</v>
      </c>
      <c r="L76" s="13" t="str">
        <f>IFERROR(__xludf.DUMMYFUNCTION("IF(REGEXMATCH($B76,L$1),$D76,"""")"),"")</f>
        <v/>
      </c>
      <c r="M76" s="13" t="str">
        <f>IFERROR(__xludf.DUMMYFUNCTION("IF(REGEXMATCH($B76,M$1),$D76,"""")"),"Animal Dinosaur")</f>
        <v>Animal Dinosaur</v>
      </c>
      <c r="N76" s="13" t="str">
        <f>IFERROR(__xludf.DUMMYFUNCTION("IF(REGEXMATCH($B76,N$1),$D76,"""")"),"")</f>
        <v/>
      </c>
      <c r="O76" s="13" t="str">
        <f>IFERROR(__xludf.DUMMYFUNCTION("IF(REGEXMATCH($B76,O$1),$D76,"""")"),"")</f>
        <v/>
      </c>
      <c r="P76" s="13" t="str">
        <f>IFERROR(__xludf.DUMMYFUNCTION("IF(REGEXMATCH($B76,P$1),$D76,"""")"),"Animal Dinosaur")</f>
        <v>Animal Dinosaur</v>
      </c>
      <c r="Q76" s="13">
        <f>IFERROR(__xludf.DUMMYFUNCTION("IF($A76="""","""",LEN(REGEXREPLACE($I76,"",\s?"","""")))"),5.0)</f>
        <v>5</v>
      </c>
      <c r="R76" s="14" t="s">
        <v>398</v>
      </c>
      <c r="S76" s="15" t="s">
        <v>399</v>
      </c>
      <c r="T76" s="13"/>
      <c r="U76" s="13"/>
      <c r="V76" s="13"/>
      <c r="W76" s="13"/>
      <c r="X76" s="13"/>
      <c r="Y76" s="13"/>
      <c r="Z76" s="13"/>
      <c r="AA76" s="13"/>
      <c r="AB76" s="13"/>
    </row>
    <row r="77" hidden="1">
      <c r="A77" s="19" t="s">
        <v>400</v>
      </c>
      <c r="B77" s="38" t="s">
        <v>11</v>
      </c>
      <c r="C77" s="18">
        <v>0.0</v>
      </c>
      <c r="D77" s="18" t="s">
        <v>176</v>
      </c>
      <c r="E77" s="19" t="s">
        <v>401</v>
      </c>
      <c r="F77" s="10" t="str">
        <f>IFERROR(__xludf.DUMMYFUNCTION("IF(REGEXMATCH($E77,""Wizard""),""Wizard "","""")&amp;IF(REGEXMATCH($E77,""Construct""),""Construct "","""")&amp;IF(REGEXMATCH($E77,""Insect""),""Insect "","""")&amp;IF(REGEXMATCH($E77,""Dragon""),""Dragon "","""")&amp;IF(REGEXMATCH($E77,""Human""),""Human "","""")&amp;IF(REG"&amp;"EXMATCH($E77,""Hunter""),""Hunter "","""")&amp;IF(REGEXMATCH($E77,""Animal""),""Animal "","""")&amp;IF(REGEXMATCH($E77,""Undead""),""Undead "","""")&amp;IF(REGEXMATCH($E77,""Plant""),""Plant "","""")&amp;IF(REGEXMATCH($E77,""Dinosaur""),""Dinosaur "","""")&amp;IF(REGEXMATCH("&amp;"$E77,""Warrior""),""Warrior "","""")&amp;IF(REGEXMATCH($E77,""Spirit""),""Spirit "","""")&amp;IF(REGEXMATCH($E77,""Angel""),""Angel "","""")&amp;IF(REGEXMATCH($E77,""Demon""),""Demon "","""")&amp;IF(REGEXMATCH($E77,""Divine""),""Divine "","""")&amp;IF(REGEXMATCH($E77,""Eleme"&amp;"ntal""),""Elemental "","""")&amp;IF(REGEXMATCH($E77,""Nature""),""Nature "","""")&amp;IF(REGEXMATCH($E77,""Mortal""),""Mortal "","""")&amp;IF(REGEXMATCH($E77,""Void""),""Void "","""")&amp;IF(REGEXMATCH($E77,""Unearth|Ambush|Ritual|unearth|ambush|ritual""),""Unearth "","""&amp;""")&amp;IF(REGEXMATCH($E77,""Unleash|Crystallize|all realms|Crystalborn|crystallize""),""Ramp "","""")&amp;IF(REGEXMATCH($E77,""Demon""),""Demon "","""")&amp;IF(REGEXMATCH($E77,""bury|buries|Bury|Buries|Cleanse|puts a Unit|trail|Trail""),""Control "","""")&amp;IF(REGEXMA"&amp;"TCH($E77,""Bounce|Return|Copy|bounce|return|copy""),""Copy "","""")&amp;IF(REGEXMATCH($E77,""conquer|Conquer|leading in lanes|lead by""),""Aggro "","""")&amp;IF(REGEXMATCH($E77,""Ascend|ascend""),""Ascend "","""")&amp;IF(REGEXMATCH($E77,""Bury .+ Crystal|.*crystal.*b"&amp;"ury""),""Empty-Crystal"","""")&amp;IF(REGEXMATCH($E77,""Move|move""),""Move"","""")"),"")</f>
        <v/>
      </c>
      <c r="G77" s="20" t="s">
        <v>402</v>
      </c>
      <c r="H77" s="18">
        <v>2.0</v>
      </c>
      <c r="I77" s="18" t="s">
        <v>403</v>
      </c>
      <c r="J77" s="18" t="s">
        <v>50</v>
      </c>
      <c r="L77" s="13" t="str">
        <f>IFERROR(__xludf.DUMMYFUNCTION("IF(REGEXMATCH($B77,L$1),$D77,"""")"),"Construct Insect")</f>
        <v>Construct Insect</v>
      </c>
      <c r="M77" s="13" t="str">
        <f>IFERROR(__xludf.DUMMYFUNCTION("IF(REGEXMATCH($B77,M$1),$D77,"""")"),"")</f>
        <v/>
      </c>
      <c r="N77" s="13" t="str">
        <f>IFERROR(__xludf.DUMMYFUNCTION("IF(REGEXMATCH($B77,N$1),$D77,"""")"),"")</f>
        <v/>
      </c>
      <c r="O77" s="13" t="str">
        <f>IFERROR(__xludf.DUMMYFUNCTION("IF(REGEXMATCH($B77,O$1),$D77,"""")"),"")</f>
        <v/>
      </c>
      <c r="P77" s="13" t="str">
        <f>IFERROR(__xludf.DUMMYFUNCTION("IF(REGEXMATCH($B77,P$1),$D77,"""")"),"")</f>
        <v/>
      </c>
      <c r="Q77" s="13">
        <f>IFERROR(__xludf.DUMMYFUNCTION("IF($A77="""","""",LEN(REGEXREPLACE($I77,"",\s?"","""")))"),2.0)</f>
        <v>2</v>
      </c>
      <c r="S77" s="13"/>
      <c r="T77" s="13"/>
      <c r="U77" s="13"/>
      <c r="V77" s="13"/>
      <c r="W77" s="13"/>
      <c r="X77" s="13"/>
      <c r="Y77" s="13"/>
      <c r="Z77" s="13"/>
      <c r="AA77" s="13"/>
      <c r="AB77" s="13"/>
    </row>
    <row r="78">
      <c r="A78" s="10" t="s">
        <v>404</v>
      </c>
      <c r="B78" s="42" t="s">
        <v>278</v>
      </c>
      <c r="C78" s="11">
        <v>1.0</v>
      </c>
      <c r="D78" s="11" t="s">
        <v>405</v>
      </c>
      <c r="E78" s="19" t="s">
        <v>406</v>
      </c>
      <c r="F78" s="10" t="str">
        <f>IFERROR(__xludf.DUMMYFUNCTION("IF(REGEXMATCH($E78,""Wizard""),""Wizard "","""")&amp;IF(REGEXMATCH($E78,""Construct""),""Construct "","""")&amp;IF(REGEXMATCH($E78,""Insect""),""Insect "","""")&amp;IF(REGEXMATCH($E78,""Dragon""),""Dragon "","""")&amp;IF(REGEXMATCH($E78,""Human""),""Human "","""")&amp;IF(REG"&amp;"EXMATCH($E78,""Hunter""),""Hunter "","""")&amp;IF(REGEXMATCH($E78,""Animal""),""Animal "","""")&amp;IF(REGEXMATCH($E78,""Undead""),""Undead "","""")&amp;IF(REGEXMATCH($E78,""Plant""),""Plant "","""")&amp;IF(REGEXMATCH($E78,""Dinosaur""),""Dinosaur "","""")&amp;IF(REGEXMATCH("&amp;"$E78,""Warrior""),""Warrior "","""")&amp;IF(REGEXMATCH($E78,""Spirit""),""Spirit "","""")&amp;IF(REGEXMATCH($E78,""Angel""),""Angel "","""")&amp;IF(REGEXMATCH($E78,""Demon""),""Demon "","""")&amp;IF(REGEXMATCH($E78,""Divine""),""Divine "","""")&amp;IF(REGEXMATCH($E78,""Eleme"&amp;"ntal""),""Elemental "","""")&amp;IF(REGEXMATCH($E78,""Nature""),""Nature "","""")&amp;IF(REGEXMATCH($E78,""Mortal""),""Mortal "","""")&amp;IF(REGEXMATCH($E78,""Void""),""Void "","""")&amp;IF(REGEXMATCH($E78,""Unearth|Ambush|Ritual|unearth|ambush|ritual""),""Unearth "","""&amp;""")&amp;IF(REGEXMATCH($E78,""Unleash|Crystallize|all realms|Crystalborn|crystallize""),""Ramp "","""")&amp;IF(REGEXMATCH($E78,""Demon""),""Demon "","""")&amp;IF(REGEXMATCH($E78,""bury|buries|Bury|Buries|Cleanse|puts a Unit|trail|Trail""),""Control "","""")&amp;IF(REGEXMA"&amp;"TCH($E78,""Bounce|Return|Copy|bounce|return|copy""),""Copy "","""")&amp;IF(REGEXMATCH($E78,""conquer|Conquer|leading in lanes|lead by""),""Aggro "","""")&amp;IF(REGEXMATCH($E78,""Ascend|ascend""),""Ascend "","""")&amp;IF(REGEXMATCH($E78,""Bury .+ Crystal|.*crystal.*b"&amp;"ury""),""Empty-Crystal"","""")&amp;IF(REGEXMATCH($E78,""Move|move""),""Move"","""")"),"")</f>
        <v/>
      </c>
      <c r="G78" s="20" t="s">
        <v>407</v>
      </c>
      <c r="H78" s="11">
        <v>3.0</v>
      </c>
      <c r="I78" s="11" t="s">
        <v>408</v>
      </c>
      <c r="J78" s="11" t="s">
        <v>50</v>
      </c>
      <c r="L78" s="13" t="str">
        <f>IFERROR(__xludf.DUMMYFUNCTION("IF(REGEXMATCH($B78,L$1),$D78,"""")"),"")</f>
        <v/>
      </c>
      <c r="M78" s="13" t="str">
        <f>IFERROR(__xludf.DUMMYFUNCTION("IF(REGEXMATCH($B78,M$1),$D78,"""")"),"Animal Wizard")</f>
        <v>Animal Wizard</v>
      </c>
      <c r="N78" s="13" t="str">
        <f>IFERROR(__xludf.DUMMYFUNCTION("IF(REGEXMATCH($B78,N$1),$D78,"""")"),"")</f>
        <v/>
      </c>
      <c r="O78" s="13" t="str">
        <f>IFERROR(__xludf.DUMMYFUNCTION("IF(REGEXMATCH($B78,O$1),$D78,"""")"),"")</f>
        <v/>
      </c>
      <c r="P78" s="13" t="str">
        <f>IFERROR(__xludf.DUMMYFUNCTION("IF(REGEXMATCH($B78,P$1),$D78,"""")"),"Animal Wizard")</f>
        <v>Animal Wizard</v>
      </c>
      <c r="Q78" s="13">
        <f>IFERROR(__xludf.DUMMYFUNCTION("IF($A78="""","""",LEN(REGEXREPLACE($I78,"",\s?"","""")))"),4.0)</f>
        <v>4</v>
      </c>
      <c r="R78" s="14" t="s">
        <v>409</v>
      </c>
      <c r="S78" s="15" t="s">
        <v>410</v>
      </c>
      <c r="T78" s="13"/>
      <c r="U78" s="13"/>
      <c r="V78" s="13"/>
      <c r="W78" s="13"/>
      <c r="X78" s="13"/>
      <c r="Y78" s="13"/>
      <c r="Z78" s="13"/>
      <c r="AA78" s="13"/>
      <c r="AB78" s="13"/>
    </row>
    <row r="79">
      <c r="A79" s="10" t="s">
        <v>411</v>
      </c>
      <c r="B79" s="10" t="s">
        <v>278</v>
      </c>
      <c r="C79" s="11">
        <v>1.0</v>
      </c>
      <c r="D79" s="11" t="s">
        <v>412</v>
      </c>
      <c r="E79" s="10"/>
      <c r="F79" s="10" t="str">
        <f>IFERROR(__xludf.DUMMYFUNCTION("IF(REGEXMATCH($E79,""Wizard""),""Wizard "","""")&amp;IF(REGEXMATCH($E79,""Construct""),""Construct "","""")&amp;IF(REGEXMATCH($E79,""Insect""),""Insect "","""")&amp;IF(REGEXMATCH($E79,""Dragon""),""Dragon "","""")&amp;IF(REGEXMATCH($E79,""Human""),""Human "","""")&amp;IF(REG"&amp;"EXMATCH($E79,""Hunter""),""Hunter "","""")&amp;IF(REGEXMATCH($E79,""Animal""),""Animal "","""")&amp;IF(REGEXMATCH($E79,""Undead""),""Undead "","""")&amp;IF(REGEXMATCH($E79,""Plant""),""Plant "","""")&amp;IF(REGEXMATCH($E79,""Dinosaur""),""Dinosaur "","""")&amp;IF(REGEXMATCH("&amp;"$E79,""Warrior""),""Warrior "","""")&amp;IF(REGEXMATCH($E79,""Spirit""),""Spirit "","""")&amp;IF(REGEXMATCH($E79,""Angel""),""Angel "","""")&amp;IF(REGEXMATCH($E79,""Demon""),""Demon "","""")&amp;IF(REGEXMATCH($E79,""Divine""),""Divine "","""")&amp;IF(REGEXMATCH($E79,""Eleme"&amp;"ntal""),""Elemental "","""")&amp;IF(REGEXMATCH($E79,""Nature""),""Nature "","""")&amp;IF(REGEXMATCH($E79,""Mortal""),""Mortal "","""")&amp;IF(REGEXMATCH($E79,""Void""),""Void "","""")&amp;IF(REGEXMATCH($E79,""Unearth|Ambush|Ritual|unearth|ambush|ritual""),""Unearth "","""&amp;""")&amp;IF(REGEXMATCH($E79,""Unleash|Crystallize|all realms|Crystalborn|crystallize""),""Ramp "","""")&amp;IF(REGEXMATCH($E79,""Demon""),""Demon "","""")&amp;IF(REGEXMATCH($E79,""bury|buries|Bury|Buries|Cleanse|puts a Unit|trail|Trail""),""Control "","""")&amp;IF(REGEXMA"&amp;"TCH($E79,""Bounce|Return|Copy|bounce|return|copy""),""Copy "","""")&amp;IF(REGEXMATCH($E79,""conquer|Conquer|leading in lanes|lead by""),""Aggro "","""")&amp;IF(REGEXMATCH($E79,""Ascend|ascend""),""Ascend "","""")&amp;IF(REGEXMATCH($E79,""Bury .+ Crystal|.*crystal.*b"&amp;"ury""),""Empty-Crystal"","""")&amp;IF(REGEXMATCH($E79,""Move|move""),""Move"","""")"),"")</f>
        <v/>
      </c>
      <c r="G79" s="12" t="s">
        <v>413</v>
      </c>
      <c r="H79" s="11">
        <v>2.0</v>
      </c>
      <c r="I79" s="11" t="s">
        <v>414</v>
      </c>
      <c r="J79" s="11" t="s">
        <v>42</v>
      </c>
      <c r="L79" s="13" t="str">
        <f>IFERROR(__xludf.DUMMYFUNCTION("IF(REGEXMATCH($B79,L$1),$D79,"""")"),"")</f>
        <v/>
      </c>
      <c r="M79" s="13" t="str">
        <f>IFERROR(__xludf.DUMMYFUNCTION("IF(REGEXMATCH($B79,M$1),$D79,"""")"),"Bannerbearer Dinosaur Wizard")</f>
        <v>Bannerbearer Dinosaur Wizard</v>
      </c>
      <c r="N79" s="13" t="str">
        <f>IFERROR(__xludf.DUMMYFUNCTION("IF(REGEXMATCH($B79,N$1),$D79,"""")"),"")</f>
        <v/>
      </c>
      <c r="O79" s="13" t="str">
        <f>IFERROR(__xludf.DUMMYFUNCTION("IF(REGEXMATCH($B79,O$1),$D79,"""")"),"")</f>
        <v/>
      </c>
      <c r="P79" s="13" t="str">
        <f>IFERROR(__xludf.DUMMYFUNCTION("IF(REGEXMATCH($B79,P$1),$D79,"""")"),"Bannerbearer Dinosaur Wizard")</f>
        <v>Bannerbearer Dinosaur Wizard</v>
      </c>
      <c r="Q79" s="13">
        <f>IFERROR(__xludf.DUMMYFUNCTION("IF($A79="""","""",LEN(REGEXREPLACE($I79,"",\s?"","""")))"),2.0)</f>
        <v>2</v>
      </c>
      <c r="R79" s="14" t="s">
        <v>415</v>
      </c>
      <c r="S79" s="15" t="s">
        <v>416</v>
      </c>
      <c r="T79" s="15" t="s">
        <v>417</v>
      </c>
      <c r="U79" s="15" t="s">
        <v>418</v>
      </c>
      <c r="V79" s="13"/>
      <c r="W79" s="13"/>
      <c r="X79" s="13"/>
      <c r="Y79" s="13"/>
      <c r="Z79" s="13"/>
      <c r="AA79" s="13"/>
      <c r="AB79" s="13"/>
    </row>
    <row r="80">
      <c r="A80" s="10" t="s">
        <v>419</v>
      </c>
      <c r="B80" s="10" t="s">
        <v>312</v>
      </c>
      <c r="C80" s="11">
        <v>1.0</v>
      </c>
      <c r="D80" s="11" t="s">
        <v>29</v>
      </c>
      <c r="E80" s="10" t="s">
        <v>420</v>
      </c>
      <c r="F80" s="10" t="str">
        <f>IFERROR(__xludf.DUMMYFUNCTION("IF(REGEXMATCH($E80,""Wizard""),""Wizard "","""")&amp;IF(REGEXMATCH($E80,""Construct""),""Construct "","""")&amp;IF(REGEXMATCH($E80,""Insect""),""Insect "","""")&amp;IF(REGEXMATCH($E80,""Dragon""),""Dragon "","""")&amp;IF(REGEXMATCH($E80,""Human""),""Human "","""")&amp;IF(REG"&amp;"EXMATCH($E80,""Hunter""),""Hunter "","""")&amp;IF(REGEXMATCH($E80,""Animal""),""Animal "","""")&amp;IF(REGEXMATCH($E80,""Undead""),""Undead "","""")&amp;IF(REGEXMATCH($E80,""Plant""),""Plant "","""")&amp;IF(REGEXMATCH($E80,""Dinosaur""),""Dinosaur "","""")&amp;IF(REGEXMATCH("&amp;"$E80,""Warrior""),""Warrior "","""")&amp;IF(REGEXMATCH($E80,""Spirit""),""Spirit "","""")&amp;IF(REGEXMATCH($E80,""Angel""),""Angel "","""")&amp;IF(REGEXMATCH($E80,""Demon""),""Demon "","""")&amp;IF(REGEXMATCH($E80,""Divine""),""Divine "","""")&amp;IF(REGEXMATCH($E80,""Eleme"&amp;"ntal""),""Elemental "","""")&amp;IF(REGEXMATCH($E80,""Nature""),""Nature "","""")&amp;IF(REGEXMATCH($E80,""Mortal""),""Mortal "","""")&amp;IF(REGEXMATCH($E80,""Void""),""Void "","""")&amp;IF(REGEXMATCH($E80,""Unearth|Ambush|Ritual|unearth|ambush|ritual""),""Unearth "","""&amp;""")&amp;IF(REGEXMATCH($E80,""Unleash|Crystallize|all realms|Crystalborn|crystallize""),""Ramp "","""")&amp;IF(REGEXMATCH($E80,""Demon""),""Demon "","""")&amp;IF(REGEXMATCH($E80,""bury|buries|Bury|Buries|Cleanse|puts a Unit|trail|Trail""),""Control "","""")&amp;IF(REGEXMA"&amp;"TCH($E80,""Bounce|Return|Copy|bounce|return|copy""),""Copy "","""")&amp;IF(REGEXMATCH($E80,""conquer|Conquer|leading in lanes|lead by""),""Aggro "","""")&amp;IF(REGEXMATCH($E80,""Ascend|ascend""),""Ascend "","""")&amp;IF(REGEXMATCH($E80,""Bury .+ Crystal|.*crystal.*b"&amp;"ury""),""Empty-Crystal"","""")&amp;IF(REGEXMATCH($E80,""Move|move""),""Move"","""")"),"Divine Void ")</f>
        <v>Divine Void </v>
      </c>
      <c r="G80" s="12" t="s">
        <v>421</v>
      </c>
      <c r="H80" s="11">
        <v>4.0</v>
      </c>
      <c r="I80" s="11" t="s">
        <v>422</v>
      </c>
      <c r="J80" s="11" t="s">
        <v>33</v>
      </c>
      <c r="L80" s="13" t="str">
        <f>IFERROR(__xludf.DUMMYFUNCTION("IF(REGEXMATCH($B80,L$1),$D80,"""")"),"")</f>
        <v/>
      </c>
      <c r="M80" s="13" t="str">
        <f>IFERROR(__xludf.DUMMYFUNCTION("IF(REGEXMATCH($B80,M$1),$D80,"""")"),"")</f>
        <v/>
      </c>
      <c r="N80" s="13" t="str">
        <f>IFERROR(__xludf.DUMMYFUNCTION("IF(REGEXMATCH($B80,N$1),$D80,"""")"),"Angel")</f>
        <v>Angel</v>
      </c>
      <c r="O80" s="13" t="str">
        <f>IFERROR(__xludf.DUMMYFUNCTION("IF(REGEXMATCH($B80,O$1),$D80,"""")"),"")</f>
        <v/>
      </c>
      <c r="P80" s="13" t="str">
        <f>IFERROR(__xludf.DUMMYFUNCTION("IF(REGEXMATCH($B80,P$1),$D80,"""")"),"Angel")</f>
        <v>Angel</v>
      </c>
      <c r="Q80" s="13">
        <f>IFERROR(__xludf.DUMMYFUNCTION("IF($A80="""","""",LEN(REGEXREPLACE($I80,"",\s?"","""")))"),7.0)</f>
        <v>7</v>
      </c>
      <c r="R80" s="14" t="s">
        <v>423</v>
      </c>
      <c r="S80" s="15" t="s">
        <v>424</v>
      </c>
      <c r="T80" s="15" t="s">
        <v>425</v>
      </c>
      <c r="U80" s="15" t="s">
        <v>426</v>
      </c>
      <c r="V80" s="15" t="s">
        <v>427</v>
      </c>
      <c r="W80" s="15" t="s">
        <v>428</v>
      </c>
      <c r="X80" s="15" t="s">
        <v>429</v>
      </c>
      <c r="Y80" s="15" t="s">
        <v>430</v>
      </c>
      <c r="Z80" s="15" t="s">
        <v>431</v>
      </c>
      <c r="AA80" s="15" t="s">
        <v>432</v>
      </c>
      <c r="AB80" s="15" t="s">
        <v>433</v>
      </c>
    </row>
    <row r="81">
      <c r="A81" s="10" t="s">
        <v>434</v>
      </c>
      <c r="B81" s="10" t="s">
        <v>312</v>
      </c>
      <c r="C81" s="11">
        <v>1.0</v>
      </c>
      <c r="D81" s="11" t="s">
        <v>435</v>
      </c>
      <c r="E81" s="10"/>
      <c r="F81" s="10" t="str">
        <f>IFERROR(__xludf.DUMMYFUNCTION("IF(REGEXMATCH($E81,""Wizard""),""Wizard "","""")&amp;IF(REGEXMATCH($E81,""Construct""),""Construct "","""")&amp;IF(REGEXMATCH($E81,""Insect""),""Insect "","""")&amp;IF(REGEXMATCH($E81,""Dragon""),""Dragon "","""")&amp;IF(REGEXMATCH($E81,""Human""),""Human "","""")&amp;IF(REG"&amp;"EXMATCH($E81,""Hunter""),""Hunter "","""")&amp;IF(REGEXMATCH($E81,""Animal""),""Animal "","""")&amp;IF(REGEXMATCH($E81,""Undead""),""Undead "","""")&amp;IF(REGEXMATCH($E81,""Plant""),""Plant "","""")&amp;IF(REGEXMATCH($E81,""Dinosaur""),""Dinosaur "","""")&amp;IF(REGEXMATCH("&amp;"$E81,""Warrior""),""Warrior "","""")&amp;IF(REGEXMATCH($E81,""Spirit""),""Spirit "","""")&amp;IF(REGEXMATCH($E81,""Angel""),""Angel "","""")&amp;IF(REGEXMATCH($E81,""Demon""),""Demon "","""")&amp;IF(REGEXMATCH($E81,""Divine""),""Divine "","""")&amp;IF(REGEXMATCH($E81,""Eleme"&amp;"ntal""),""Elemental "","""")&amp;IF(REGEXMATCH($E81,""Nature""),""Nature "","""")&amp;IF(REGEXMATCH($E81,""Mortal""),""Mortal "","""")&amp;IF(REGEXMATCH($E81,""Void""),""Void "","""")&amp;IF(REGEXMATCH($E81,""Unearth|Ambush|Ritual|unearth|ambush|ritual""),""Unearth "","""&amp;""")&amp;IF(REGEXMATCH($E81,""Unleash|Crystallize|all realms|Crystalborn|crystallize""),""Ramp "","""")&amp;IF(REGEXMATCH($E81,""Demon""),""Demon "","""")&amp;IF(REGEXMATCH($E81,""bury|buries|Bury|Buries|Cleanse|puts a Unit|trail|Trail""),""Control "","""")&amp;IF(REGEXMA"&amp;"TCH($E81,""Bounce|Return|Copy|bounce|return|copy""),""Copy "","""")&amp;IF(REGEXMATCH($E81,""conquer|Conquer|leading in lanes|lead by""),""Aggro "","""")&amp;IF(REGEXMATCH($E81,""Ascend|ascend""),""Ascend "","""")&amp;IF(REGEXMATCH($E81,""Bury .+ Crystal|.*crystal.*b"&amp;"ury""),""Empty-Crystal"","""")&amp;IF(REGEXMATCH($E81,""Move|move""),""Move"","""")"),"")</f>
        <v/>
      </c>
      <c r="G81" s="12" t="s">
        <v>436</v>
      </c>
      <c r="H81" s="11">
        <v>2.0</v>
      </c>
      <c r="I81" s="11" t="s">
        <v>437</v>
      </c>
      <c r="J81" s="11" t="s">
        <v>42</v>
      </c>
      <c r="L81" s="13" t="str">
        <f>IFERROR(__xludf.DUMMYFUNCTION("IF(REGEXMATCH($B81,L$1),$D81,"""")"),"")</f>
        <v/>
      </c>
      <c r="M81" s="13" t="str">
        <f>IFERROR(__xludf.DUMMYFUNCTION("IF(REGEXMATCH($B81,M$1),$D81,"""")"),"")</f>
        <v/>
      </c>
      <c r="N81" s="13" t="str">
        <f>IFERROR(__xludf.DUMMYFUNCTION("IF(REGEXMATCH($B81,N$1),$D81,"""")"),"Angel Bannerbearer Demon")</f>
        <v>Angel Bannerbearer Demon</v>
      </c>
      <c r="O81" s="13" t="str">
        <f>IFERROR(__xludf.DUMMYFUNCTION("IF(REGEXMATCH($B81,O$1),$D81,"""")"),"")</f>
        <v/>
      </c>
      <c r="P81" s="13" t="str">
        <f>IFERROR(__xludf.DUMMYFUNCTION("IF(REGEXMATCH($B81,P$1),$D81,"""")"),"Angel Bannerbearer Demon")</f>
        <v>Angel Bannerbearer Demon</v>
      </c>
      <c r="Q81" s="13">
        <f>IFERROR(__xludf.DUMMYFUNCTION("IF($A81="""","""",LEN(REGEXREPLACE($I81,"",\s?"","""")))"),2.0)</f>
        <v>2</v>
      </c>
      <c r="R81" s="14" t="s">
        <v>438</v>
      </c>
      <c r="S81" s="15" t="s">
        <v>439</v>
      </c>
      <c r="T81" s="15" t="s">
        <v>440</v>
      </c>
      <c r="U81" s="15" t="s">
        <v>441</v>
      </c>
      <c r="V81" s="15" t="s">
        <v>442</v>
      </c>
      <c r="W81" s="15" t="s">
        <v>443</v>
      </c>
      <c r="X81" s="15" t="s">
        <v>444</v>
      </c>
      <c r="Y81" s="15" t="s">
        <v>445</v>
      </c>
      <c r="Z81" s="15" t="s">
        <v>446</v>
      </c>
      <c r="AA81" s="15" t="s">
        <v>447</v>
      </c>
      <c r="AB81" s="15" t="s">
        <v>448</v>
      </c>
    </row>
    <row r="82" hidden="1">
      <c r="A82" s="19" t="s">
        <v>449</v>
      </c>
      <c r="B82" s="38" t="s">
        <v>11</v>
      </c>
      <c r="C82" s="18">
        <v>2.0</v>
      </c>
      <c r="D82" s="18" t="s">
        <v>450</v>
      </c>
      <c r="E82" s="19" t="s">
        <v>451</v>
      </c>
      <c r="F82" s="10" t="str">
        <f>IFERROR(__xludf.DUMMYFUNCTION("IF(REGEXMATCH($E82,""Wizard""),""Wizard "","""")&amp;IF(REGEXMATCH($E82,""Construct""),""Construct "","""")&amp;IF(REGEXMATCH($E82,""Insect""),""Insect "","""")&amp;IF(REGEXMATCH($E82,""Dragon""),""Dragon "","""")&amp;IF(REGEXMATCH($E82,""Human""),""Human "","""")&amp;IF(REG"&amp;"EXMATCH($E82,""Hunter""),""Hunter "","""")&amp;IF(REGEXMATCH($E82,""Animal""),""Animal "","""")&amp;IF(REGEXMATCH($E82,""Undead""),""Undead "","""")&amp;IF(REGEXMATCH($E82,""Plant""),""Plant "","""")&amp;IF(REGEXMATCH($E82,""Dinosaur""),""Dinosaur "","""")&amp;IF(REGEXMATCH("&amp;"$E82,""Warrior""),""Warrior "","""")&amp;IF(REGEXMATCH($E82,""Spirit""),""Spirit "","""")&amp;IF(REGEXMATCH($E82,""Angel""),""Angel "","""")&amp;IF(REGEXMATCH($E82,""Demon""),""Demon "","""")&amp;IF(REGEXMATCH($E82,""Divine""),""Divine "","""")&amp;IF(REGEXMATCH($E82,""Eleme"&amp;"ntal""),""Elemental "","""")&amp;IF(REGEXMATCH($E82,""Nature""),""Nature "","""")&amp;IF(REGEXMATCH($E82,""Mortal""),""Mortal "","""")&amp;IF(REGEXMATCH($E82,""Void""),""Void "","""")&amp;IF(REGEXMATCH($E82,""Unearth|Ambush|Ritual|unearth|ambush|ritual""),""Unearth "","""&amp;""")&amp;IF(REGEXMATCH($E82,""Unleash|Crystallize|all realms|Crystalborn|crystallize""),""Ramp "","""")&amp;IF(REGEXMATCH($E82,""Demon""),""Demon "","""")&amp;IF(REGEXMATCH($E82,""bury|buries|Bury|Buries|Cleanse|puts a Unit|trail|Trail""),""Control "","""")&amp;IF(REGEXMA"&amp;"TCH($E82,""Bounce|Return|Copy|bounce|return|copy""),""Copy "","""")&amp;IF(REGEXMATCH($E82,""conquer|Conquer|leading in lanes|lead by""),""Aggro "","""")&amp;IF(REGEXMATCH($E82,""Ascend|ascend""),""Ascend "","""")&amp;IF(REGEXMATCH($E82,""Bury .+ Crystal|.*crystal.*b"&amp;"ury""),""Empty-Crystal"","""")&amp;IF(REGEXMATCH($E82,""Move|move""),""Move"","""")"),"Dragon Spirit Ramp Ascend ")</f>
        <v>Dragon Spirit Ramp Ascend </v>
      </c>
      <c r="G82" s="20" t="s">
        <v>452</v>
      </c>
      <c r="H82" s="18">
        <v>1.0</v>
      </c>
      <c r="I82" s="18" t="s">
        <v>336</v>
      </c>
      <c r="J82" s="18" t="s">
        <v>42</v>
      </c>
      <c r="L82" s="13" t="str">
        <f>IFERROR(__xludf.DUMMYFUNCTION("IF(REGEXMATCH($B82,L$1),$D82,"""")"),"Dragon Spirit")</f>
        <v>Dragon Spirit</v>
      </c>
      <c r="M82" s="13" t="str">
        <f>IFERROR(__xludf.DUMMYFUNCTION("IF(REGEXMATCH($B82,M$1),$D82,"""")"),"")</f>
        <v/>
      </c>
      <c r="N82" s="13" t="str">
        <f>IFERROR(__xludf.DUMMYFUNCTION("IF(REGEXMATCH($B82,N$1),$D82,"""")"),"")</f>
        <v/>
      </c>
      <c r="O82" s="13" t="str">
        <f>IFERROR(__xludf.DUMMYFUNCTION("IF(REGEXMATCH($B82,O$1),$D82,"""")"),"")</f>
        <v/>
      </c>
      <c r="P82" s="13" t="str">
        <f>IFERROR(__xludf.DUMMYFUNCTION("IF(REGEXMATCH($B82,P$1),$D82,"""")"),"")</f>
        <v/>
      </c>
      <c r="Q82" s="13">
        <f>IFERROR(__xludf.DUMMYFUNCTION("IF($A82="""","""",LEN(REGEXREPLACE($I82,"",\s?"","""")))"),3.0)</f>
        <v>3</v>
      </c>
      <c r="S82" s="13"/>
      <c r="T82" s="13"/>
      <c r="U82" s="13"/>
      <c r="V82" s="13"/>
      <c r="W82" s="13"/>
      <c r="X82" s="13"/>
      <c r="Y82" s="13"/>
      <c r="Z82" s="13"/>
      <c r="AA82" s="13"/>
      <c r="AB82" s="13"/>
    </row>
    <row r="83" hidden="1">
      <c r="A83" s="29" t="s">
        <v>453</v>
      </c>
      <c r="B83" s="43" t="s">
        <v>11</v>
      </c>
      <c r="C83" s="11">
        <v>2.0</v>
      </c>
      <c r="D83" s="21" t="s">
        <v>317</v>
      </c>
      <c r="E83" s="19" t="s">
        <v>454</v>
      </c>
      <c r="F83" s="10" t="str">
        <f>IFERROR(__xludf.DUMMYFUNCTION("IF(REGEXMATCH($E83,""Wizard""),""Wizard "","""")&amp;IF(REGEXMATCH($E83,""Construct""),""Construct "","""")&amp;IF(REGEXMATCH($E83,""Insect""),""Insect "","""")&amp;IF(REGEXMATCH($E83,""Dragon""),""Dragon "","""")&amp;IF(REGEXMATCH($E83,""Human""),""Human "","""")&amp;IF(REG"&amp;"EXMATCH($E83,""Hunter""),""Hunter "","""")&amp;IF(REGEXMATCH($E83,""Animal""),""Animal "","""")&amp;IF(REGEXMATCH($E83,""Undead""),""Undead "","""")&amp;IF(REGEXMATCH($E83,""Plant""),""Plant "","""")&amp;IF(REGEXMATCH($E83,""Dinosaur""),""Dinosaur "","""")&amp;IF(REGEXMATCH("&amp;"$E83,""Warrior""),""Warrior "","""")&amp;IF(REGEXMATCH($E83,""Spirit""),""Spirit "","""")&amp;IF(REGEXMATCH($E83,""Angel""),""Angel "","""")&amp;IF(REGEXMATCH($E83,""Demon""),""Demon "","""")&amp;IF(REGEXMATCH($E83,""Divine""),""Divine "","""")&amp;IF(REGEXMATCH($E83,""Eleme"&amp;"ntal""),""Elemental "","""")&amp;IF(REGEXMATCH($E83,""Nature""),""Nature "","""")&amp;IF(REGEXMATCH($E83,""Mortal""),""Mortal "","""")&amp;IF(REGEXMATCH($E83,""Void""),""Void "","""")&amp;IF(REGEXMATCH($E83,""Unearth|Ambush|Ritual|unearth|ambush|ritual""),""Unearth "","""&amp;""")&amp;IF(REGEXMATCH($E83,""Unleash|Crystallize|all realms|Crystalborn|crystallize""),""Ramp "","""")&amp;IF(REGEXMATCH($E83,""Demon""),""Demon "","""")&amp;IF(REGEXMATCH($E83,""bury|buries|Bury|Buries|Cleanse|puts a Unit|trail|Trail""),""Control "","""")&amp;IF(REGEXMA"&amp;"TCH($E83,""Bounce|Return|Copy|bounce|return|copy""),""Copy "","""")&amp;IF(REGEXMATCH($E83,""conquer|Conquer|leading in lanes|lead by""),""Aggro "","""")&amp;IF(REGEXMATCH($E83,""Ascend|ascend""),""Ascend "","""")&amp;IF(REGEXMATCH($E83,""Bury .+ Crystal|.*crystal.*b"&amp;"ury""),""Empty-Crystal"","""")&amp;IF(REGEXMATCH($E83,""Move|move""),""Move"","""")"),"Control ")</f>
        <v>Control </v>
      </c>
      <c r="G83" s="12" t="s">
        <v>455</v>
      </c>
      <c r="H83" s="11">
        <v>2.0</v>
      </c>
      <c r="I83" s="11" t="s">
        <v>403</v>
      </c>
      <c r="J83" s="21" t="s">
        <v>42</v>
      </c>
      <c r="L83" s="13" t="str">
        <f>IFERROR(__xludf.DUMMYFUNCTION("IF(REGEXMATCH($B83,L$1),$D83,"""")"),"Spirit")</f>
        <v>Spirit</v>
      </c>
      <c r="M83" s="13" t="str">
        <f>IFERROR(__xludf.DUMMYFUNCTION("IF(REGEXMATCH($B83,M$1),$D83,"""")"),"")</f>
        <v/>
      </c>
      <c r="N83" s="13" t="str">
        <f>IFERROR(__xludf.DUMMYFUNCTION("IF(REGEXMATCH($B83,N$1),$D83,"""")"),"")</f>
        <v/>
      </c>
      <c r="O83" s="13" t="str">
        <f>IFERROR(__xludf.DUMMYFUNCTION("IF(REGEXMATCH($B83,O$1),$D83,"""")"),"")</f>
        <v/>
      </c>
      <c r="P83" s="13" t="str">
        <f>IFERROR(__xludf.DUMMYFUNCTION("IF(REGEXMATCH($B83,P$1),$D83,"""")"),"")</f>
        <v/>
      </c>
      <c r="Q83" s="13">
        <f>IFERROR(__xludf.DUMMYFUNCTION("IF($A83="""","""",LEN(REGEXREPLACE($I83,"",\s?"","""")))"),2.0)</f>
        <v>2</v>
      </c>
      <c r="S83" s="13"/>
      <c r="T83" s="13"/>
      <c r="U83" s="13"/>
      <c r="V83" s="13"/>
      <c r="W83" s="13"/>
      <c r="X83" s="13"/>
      <c r="Y83" s="13"/>
      <c r="Z83" s="13"/>
      <c r="AA83" s="13"/>
      <c r="AB83" s="13"/>
    </row>
    <row r="84">
      <c r="A84" s="10" t="s">
        <v>456</v>
      </c>
      <c r="B84" s="10" t="s">
        <v>312</v>
      </c>
      <c r="C84" s="11">
        <v>1.0</v>
      </c>
      <c r="D84" s="11" t="s">
        <v>154</v>
      </c>
      <c r="E84" s="10" t="s">
        <v>457</v>
      </c>
      <c r="F84" s="10" t="str">
        <f>IFERROR(__xludf.DUMMYFUNCTION("IF(REGEXMATCH($E84,""Wizard""),""Wizard "","""")&amp;IF(REGEXMATCH($E84,""Construct""),""Construct "","""")&amp;IF(REGEXMATCH($E84,""Insect""),""Insect "","""")&amp;IF(REGEXMATCH($E84,""Dragon""),""Dragon "","""")&amp;IF(REGEXMATCH($E84,""Human""),""Human "","""")&amp;IF(REG"&amp;"EXMATCH($E84,""Hunter""),""Hunter "","""")&amp;IF(REGEXMATCH($E84,""Animal""),""Animal "","""")&amp;IF(REGEXMATCH($E84,""Undead""),""Undead "","""")&amp;IF(REGEXMATCH($E84,""Plant""),""Plant "","""")&amp;IF(REGEXMATCH($E84,""Dinosaur""),""Dinosaur "","""")&amp;IF(REGEXMATCH("&amp;"$E84,""Warrior""),""Warrior "","""")&amp;IF(REGEXMATCH($E84,""Spirit""),""Spirit "","""")&amp;IF(REGEXMATCH($E84,""Angel""),""Angel "","""")&amp;IF(REGEXMATCH($E84,""Demon""),""Demon "","""")&amp;IF(REGEXMATCH($E84,""Divine""),""Divine "","""")&amp;IF(REGEXMATCH($E84,""Eleme"&amp;"ntal""),""Elemental "","""")&amp;IF(REGEXMATCH($E84,""Nature""),""Nature "","""")&amp;IF(REGEXMATCH($E84,""Mortal""),""Mortal "","""")&amp;IF(REGEXMATCH($E84,""Void""),""Void "","""")&amp;IF(REGEXMATCH($E84,""Unearth|Ambush|Ritual|unearth|ambush|ritual""),""Unearth "","""&amp;""")&amp;IF(REGEXMATCH($E84,""Unleash|Crystallize|all realms|Crystalborn|crystallize""),""Ramp "","""")&amp;IF(REGEXMATCH($E84,""Demon""),""Demon "","""")&amp;IF(REGEXMATCH($E84,""bury|buries|Bury|Buries|Cleanse|puts a Unit|trail|Trail""),""Control "","""")&amp;IF(REGEXMA"&amp;"TCH($E84,""Bounce|Return|Copy|bounce|return|copy""),""Copy "","""")&amp;IF(REGEXMATCH($E84,""conquer|Conquer|leading in lanes|lead by""),""Aggro "","""")&amp;IF(REGEXMATCH($E84,""Ascend|ascend""),""Ascend "","""")&amp;IF(REGEXMATCH($E84,""Bury .+ Crystal|.*crystal.*b"&amp;"ury""),""Empty-Crystal"","""")&amp;IF(REGEXMATCH($E84,""Move|move""),""Move"","""")"),"Divine Void ")</f>
        <v>Divine Void </v>
      </c>
      <c r="G84" s="12" t="s">
        <v>458</v>
      </c>
      <c r="H84" s="11">
        <v>3.0</v>
      </c>
      <c r="I84" s="11" t="s">
        <v>459</v>
      </c>
      <c r="J84" s="11" t="s">
        <v>50</v>
      </c>
      <c r="L84" s="13" t="str">
        <f>IFERROR(__xludf.DUMMYFUNCTION("IF(REGEXMATCH($B84,L$1),$D84,"""")"),"")</f>
        <v/>
      </c>
      <c r="M84" s="13" t="str">
        <f>IFERROR(__xludf.DUMMYFUNCTION("IF(REGEXMATCH($B84,M$1),$D84,"""")"),"")</f>
        <v/>
      </c>
      <c r="N84" s="13" t="str">
        <f>IFERROR(__xludf.DUMMYFUNCTION("IF(REGEXMATCH($B84,N$1),$D84,"""")"),"Animal Spirit")</f>
        <v>Animal Spirit</v>
      </c>
      <c r="O84" s="13" t="str">
        <f>IFERROR(__xludf.DUMMYFUNCTION("IF(REGEXMATCH($B84,O$1),$D84,"""")"),"")</f>
        <v/>
      </c>
      <c r="P84" s="13" t="str">
        <f>IFERROR(__xludf.DUMMYFUNCTION("IF(REGEXMATCH($B84,P$1),$D84,"""")"),"Animal Spirit")</f>
        <v>Animal Spirit</v>
      </c>
      <c r="Q84" s="13">
        <f>IFERROR(__xludf.DUMMYFUNCTION("IF($A84="""","""",LEN(REGEXREPLACE($I84,"",\s?"","""")))"),3.0)</f>
        <v>3</v>
      </c>
      <c r="R84" s="14" t="s">
        <v>460</v>
      </c>
      <c r="S84" s="15" t="s">
        <v>461</v>
      </c>
      <c r="T84" s="15" t="s">
        <v>462</v>
      </c>
      <c r="U84" s="15" t="s">
        <v>463</v>
      </c>
      <c r="V84" s="15" t="s">
        <v>464</v>
      </c>
      <c r="W84" s="15" t="s">
        <v>465</v>
      </c>
      <c r="X84" s="15" t="s">
        <v>466</v>
      </c>
      <c r="Y84" s="15" t="s">
        <v>467</v>
      </c>
      <c r="Z84" s="13"/>
      <c r="AA84" s="13"/>
      <c r="AB84" s="13"/>
    </row>
    <row r="85" hidden="1">
      <c r="A85" s="10" t="s">
        <v>468</v>
      </c>
      <c r="B85" s="36" t="s">
        <v>11</v>
      </c>
      <c r="C85" s="11">
        <v>2.0</v>
      </c>
      <c r="D85" s="11" t="s">
        <v>469</v>
      </c>
      <c r="E85" s="10" t="s">
        <v>470</v>
      </c>
      <c r="F85" s="10" t="str">
        <f>IFERROR(__xludf.DUMMYFUNCTION("IF(REGEXMATCH($E85,""Wizard""),""Wizard "","""")&amp;IF(REGEXMATCH($E85,""Construct""),""Construct "","""")&amp;IF(REGEXMATCH($E85,""Insect""),""Insect "","""")&amp;IF(REGEXMATCH($E85,""Dragon""),""Dragon "","""")&amp;IF(REGEXMATCH($E85,""Human""),""Human "","""")&amp;IF(REG"&amp;"EXMATCH($E85,""Hunter""),""Hunter "","""")&amp;IF(REGEXMATCH($E85,""Animal""),""Animal "","""")&amp;IF(REGEXMATCH($E85,""Undead""),""Undead "","""")&amp;IF(REGEXMATCH($E85,""Plant""),""Plant "","""")&amp;IF(REGEXMATCH($E85,""Dinosaur""),""Dinosaur "","""")&amp;IF(REGEXMATCH("&amp;"$E85,""Warrior""),""Warrior "","""")&amp;IF(REGEXMATCH($E85,""Spirit""),""Spirit "","""")&amp;IF(REGEXMATCH($E85,""Angel""),""Angel "","""")&amp;IF(REGEXMATCH($E85,""Demon""),""Demon "","""")&amp;IF(REGEXMATCH($E85,""Divine""),""Divine "","""")&amp;IF(REGEXMATCH($E85,""Eleme"&amp;"ntal""),""Elemental "","""")&amp;IF(REGEXMATCH($E85,""Nature""),""Nature "","""")&amp;IF(REGEXMATCH($E85,""Mortal""),""Mortal "","""")&amp;IF(REGEXMATCH($E85,""Void""),""Void "","""")&amp;IF(REGEXMATCH($E85,""Unearth|Ambush|Ritual|unearth|ambush|ritual""),""Unearth "","""&amp;""")&amp;IF(REGEXMATCH($E85,""Unleash|Crystallize|all realms|Crystalborn|crystallize""),""Ramp "","""")&amp;IF(REGEXMATCH($E85,""Demon""),""Demon "","""")&amp;IF(REGEXMATCH($E85,""bury|buries|Bury|Buries|Cleanse|puts a Unit|trail|Trail""),""Control "","""")&amp;IF(REGEXMA"&amp;"TCH($E85,""Bounce|Return|Copy|bounce|return|copy""),""Copy "","""")&amp;IF(REGEXMATCH($E85,""conquer|Conquer|leading in lanes|lead by""),""Aggro "","""")&amp;IF(REGEXMATCH($E85,""Ascend|ascend""),""Ascend "","""")&amp;IF(REGEXMATCH($E85,""Bury .+ Crystal|.*crystal.*b"&amp;"ury""),""Empty-Crystal"","""")&amp;IF(REGEXMATCH($E85,""Move|move""),""Move"","""")"),"Wizard Ramp ")</f>
        <v>Wizard Ramp </v>
      </c>
      <c r="G85" s="12" t="s">
        <v>471</v>
      </c>
      <c r="H85" s="11">
        <v>5.0</v>
      </c>
      <c r="I85" s="11" t="s">
        <v>472</v>
      </c>
      <c r="J85" s="18" t="s">
        <v>50</v>
      </c>
      <c r="L85" s="13" t="str">
        <f>IFERROR(__xludf.DUMMYFUNCTION("IF(REGEXMATCH($B85,L$1),$D85,"""")"),"Wizard")</f>
        <v>Wizard</v>
      </c>
      <c r="M85" s="13" t="str">
        <f>IFERROR(__xludf.DUMMYFUNCTION("IF(REGEXMATCH($B85,M$1),$D85,"""")"),"")</f>
        <v/>
      </c>
      <c r="N85" s="13" t="str">
        <f>IFERROR(__xludf.DUMMYFUNCTION("IF(REGEXMATCH($B85,N$1),$D85,"""")"),"")</f>
        <v/>
      </c>
      <c r="O85" s="13" t="str">
        <f>IFERROR(__xludf.DUMMYFUNCTION("IF(REGEXMATCH($B85,O$1),$D85,"""")"),"")</f>
        <v/>
      </c>
      <c r="P85" s="13" t="str">
        <f>IFERROR(__xludf.DUMMYFUNCTION("IF(REGEXMATCH($B85,P$1),$D85,"""")"),"")</f>
        <v/>
      </c>
      <c r="Q85" s="13">
        <f>IFERROR(__xludf.DUMMYFUNCTION("IF($A85="""","""",LEN(REGEXREPLACE($I85,"",\s?"","""")))"),6.0)</f>
        <v>6</v>
      </c>
      <c r="S85" s="13"/>
      <c r="T85" s="13"/>
      <c r="U85" s="13"/>
      <c r="V85" s="13"/>
      <c r="W85" s="13"/>
      <c r="X85" s="13"/>
      <c r="Y85" s="13"/>
      <c r="Z85" s="13"/>
      <c r="AA85" s="13"/>
      <c r="AB85" s="13"/>
    </row>
    <row r="86" hidden="1">
      <c r="A86" s="19" t="s">
        <v>473</v>
      </c>
      <c r="B86" s="38" t="s">
        <v>11</v>
      </c>
      <c r="C86" s="18">
        <v>2.0</v>
      </c>
      <c r="D86" s="18" t="s">
        <v>474</v>
      </c>
      <c r="E86" s="19" t="s">
        <v>475</v>
      </c>
      <c r="F86" s="10" t="str">
        <f>IFERROR(__xludf.DUMMYFUNCTION("IF(REGEXMATCH($E86,""Wizard""),""Wizard "","""")&amp;IF(REGEXMATCH($E86,""Construct""),""Construct "","""")&amp;IF(REGEXMATCH($E86,""Insect""),""Insect "","""")&amp;IF(REGEXMATCH($E86,""Dragon""),""Dragon "","""")&amp;IF(REGEXMATCH($E86,""Human""),""Human "","""")&amp;IF(REG"&amp;"EXMATCH($E86,""Hunter""),""Hunter "","""")&amp;IF(REGEXMATCH($E86,""Animal""),""Animal "","""")&amp;IF(REGEXMATCH($E86,""Undead""),""Undead "","""")&amp;IF(REGEXMATCH($E86,""Plant""),""Plant "","""")&amp;IF(REGEXMATCH($E86,""Dinosaur""),""Dinosaur "","""")&amp;IF(REGEXMATCH("&amp;"$E86,""Warrior""),""Warrior "","""")&amp;IF(REGEXMATCH($E86,""Spirit""),""Spirit "","""")&amp;IF(REGEXMATCH($E86,""Angel""),""Angel "","""")&amp;IF(REGEXMATCH($E86,""Demon""),""Demon "","""")&amp;IF(REGEXMATCH($E86,""Divine""),""Divine "","""")&amp;IF(REGEXMATCH($E86,""Eleme"&amp;"ntal""),""Elemental "","""")&amp;IF(REGEXMATCH($E86,""Nature""),""Nature "","""")&amp;IF(REGEXMATCH($E86,""Mortal""),""Mortal "","""")&amp;IF(REGEXMATCH($E86,""Void""),""Void "","""")&amp;IF(REGEXMATCH($E86,""Unearth|Ambush|Ritual|unearth|ambush|ritual""),""Unearth "","""&amp;""")&amp;IF(REGEXMATCH($E86,""Unleash|Crystallize|all realms|Crystalborn|crystallize""),""Ramp "","""")&amp;IF(REGEXMATCH($E86,""Demon""),""Demon "","""")&amp;IF(REGEXMATCH($E86,""bury|buries|Bury|Buries|Cleanse|puts a Unit|trail|Trail""),""Control "","""")&amp;IF(REGEXMA"&amp;"TCH($E86,""Bounce|Return|Copy|bounce|return|copy""),""Copy "","""")&amp;IF(REGEXMATCH($E86,""conquer|Conquer|leading in lanes|lead by""),""Aggro "","""")&amp;IF(REGEXMATCH($E86,""Ascend|ascend""),""Ascend "","""")&amp;IF(REGEXMATCH($E86,""Bury .+ Crystal|.*crystal.*b"&amp;"ury""),""Empty-Crystal"","""")&amp;IF(REGEXMATCH($E86,""Move|move""),""Move"","""")"),"Ramp ")</f>
        <v>Ramp </v>
      </c>
      <c r="G86" s="20" t="s">
        <v>304</v>
      </c>
      <c r="H86" s="18">
        <v>3.0</v>
      </c>
      <c r="I86" s="18" t="s">
        <v>336</v>
      </c>
      <c r="J86" s="11" t="s">
        <v>50</v>
      </c>
      <c r="L86" s="13" t="str">
        <f>IFERROR(__xludf.DUMMYFUNCTION("IF(REGEXMATCH($B86,L$1),$D86,"""")"),"Demon Spirit")</f>
        <v>Demon Spirit</v>
      </c>
      <c r="M86" s="13" t="str">
        <f>IFERROR(__xludf.DUMMYFUNCTION("IF(REGEXMATCH($B86,M$1),$D86,"""")"),"")</f>
        <v/>
      </c>
      <c r="N86" s="13" t="str">
        <f>IFERROR(__xludf.DUMMYFUNCTION("IF(REGEXMATCH($B86,N$1),$D86,"""")"),"")</f>
        <v/>
      </c>
      <c r="O86" s="13" t="str">
        <f>IFERROR(__xludf.DUMMYFUNCTION("IF(REGEXMATCH($B86,O$1),$D86,"""")"),"")</f>
        <v/>
      </c>
      <c r="P86" s="13" t="str">
        <f>IFERROR(__xludf.DUMMYFUNCTION("IF(REGEXMATCH($B86,P$1),$D86,"""")"),"")</f>
        <v/>
      </c>
      <c r="Q86" s="13">
        <f>IFERROR(__xludf.DUMMYFUNCTION("IF($A86="""","""",LEN(REGEXREPLACE($I86,"",\s?"","""")))"),3.0)</f>
        <v>3</v>
      </c>
      <c r="S86" s="13"/>
      <c r="T86" s="13"/>
      <c r="U86" s="13"/>
      <c r="V86" s="13"/>
      <c r="W86" s="13"/>
      <c r="X86" s="13"/>
      <c r="Y86" s="13"/>
      <c r="Z86" s="13"/>
      <c r="AA86" s="13"/>
      <c r="AB86" s="13"/>
    </row>
    <row r="87" hidden="1">
      <c r="A87" s="22" t="s">
        <v>476</v>
      </c>
      <c r="B87" s="36" t="s">
        <v>11</v>
      </c>
      <c r="C87" s="11">
        <v>2.0</v>
      </c>
      <c r="D87" s="11" t="s">
        <v>477</v>
      </c>
      <c r="E87" s="10" t="s">
        <v>478</v>
      </c>
      <c r="F87" s="10" t="str">
        <f>IFERROR(__xludf.DUMMYFUNCTION("IF(REGEXMATCH($E87,""Wizard""),""Wizard "","""")&amp;IF(REGEXMATCH($E87,""Construct""),""Construct "","""")&amp;IF(REGEXMATCH($E87,""Insect""),""Insect "","""")&amp;IF(REGEXMATCH($E87,""Dragon""),""Dragon "","""")&amp;IF(REGEXMATCH($E87,""Human""),""Human "","""")&amp;IF(REG"&amp;"EXMATCH($E87,""Hunter""),""Hunter "","""")&amp;IF(REGEXMATCH($E87,""Animal""),""Animal "","""")&amp;IF(REGEXMATCH($E87,""Undead""),""Undead "","""")&amp;IF(REGEXMATCH($E87,""Plant""),""Plant "","""")&amp;IF(REGEXMATCH($E87,""Dinosaur""),""Dinosaur "","""")&amp;IF(REGEXMATCH("&amp;"$E87,""Warrior""),""Warrior "","""")&amp;IF(REGEXMATCH($E87,""Spirit""),""Spirit "","""")&amp;IF(REGEXMATCH($E87,""Angel""),""Angel "","""")&amp;IF(REGEXMATCH($E87,""Demon""),""Demon "","""")&amp;IF(REGEXMATCH($E87,""Divine""),""Divine "","""")&amp;IF(REGEXMATCH($E87,""Eleme"&amp;"ntal""),""Elemental "","""")&amp;IF(REGEXMATCH($E87,""Nature""),""Nature "","""")&amp;IF(REGEXMATCH($E87,""Mortal""),""Mortal "","""")&amp;IF(REGEXMATCH($E87,""Void""),""Void "","""")&amp;IF(REGEXMATCH($E87,""Unearth|Ambush|Ritual|unearth|ambush|ritual""),""Unearth "","""&amp;""")&amp;IF(REGEXMATCH($E87,""Unleash|Crystallize|all realms|Crystalborn|crystallize""),""Ramp "","""")&amp;IF(REGEXMATCH($E87,""Demon""),""Demon "","""")&amp;IF(REGEXMATCH($E87,""bury|buries|Bury|Buries|Cleanse|puts a Unit|trail|Trail""),""Control "","""")&amp;IF(REGEXMA"&amp;"TCH($E87,""Bounce|Return|Copy|bounce|return|copy""),""Copy "","""")&amp;IF(REGEXMATCH($E87,""conquer|Conquer|leading in lanes|lead by""),""Aggro "","""")&amp;IF(REGEXMATCH($E87,""Ascend|ascend""),""Ascend "","""")&amp;IF(REGEXMATCH($E87,""Bury .+ Crystal|.*crystal.*b"&amp;"ury""),""Empty-Crystal"","""")&amp;IF(REGEXMATCH($E87,""Move|move""),""Move"","""")"),"Wizard ")</f>
        <v>Wizard </v>
      </c>
      <c r="G87" s="12" t="s">
        <v>479</v>
      </c>
      <c r="H87" s="11">
        <v>2.0</v>
      </c>
      <c r="I87" s="11" t="s">
        <v>336</v>
      </c>
      <c r="J87" s="11" t="s">
        <v>50</v>
      </c>
      <c r="L87" s="13" t="str">
        <f>IFERROR(__xludf.DUMMYFUNCTION("IF(REGEXMATCH($B87,L$1),$D87,"""")"),"Plant Wizard")</f>
        <v>Plant Wizard</v>
      </c>
      <c r="M87" s="13" t="str">
        <f>IFERROR(__xludf.DUMMYFUNCTION("IF(REGEXMATCH($B87,M$1),$D87,"""")"),"")</f>
        <v/>
      </c>
      <c r="N87" s="13" t="str">
        <f>IFERROR(__xludf.DUMMYFUNCTION("IF(REGEXMATCH($B87,N$1),$D87,"""")"),"")</f>
        <v/>
      </c>
      <c r="O87" s="13" t="str">
        <f>IFERROR(__xludf.DUMMYFUNCTION("IF(REGEXMATCH($B87,O$1),$D87,"""")"),"")</f>
        <v/>
      </c>
      <c r="P87" s="13" t="str">
        <f>IFERROR(__xludf.DUMMYFUNCTION("IF(REGEXMATCH($B87,P$1),$D87,"""")"),"")</f>
        <v/>
      </c>
      <c r="Q87" s="13">
        <f>IFERROR(__xludf.DUMMYFUNCTION("IF($A87="""","""",LEN(REGEXREPLACE($I87,"",\s?"","""")))"),3.0)</f>
        <v>3</v>
      </c>
      <c r="S87" s="13"/>
      <c r="T87" s="13"/>
      <c r="U87" s="13"/>
      <c r="V87" s="13"/>
      <c r="W87" s="13"/>
      <c r="X87" s="13"/>
      <c r="Y87" s="13"/>
      <c r="Z87" s="13"/>
      <c r="AA87" s="13"/>
      <c r="AB87" s="13"/>
    </row>
    <row r="88">
      <c r="A88" s="44" t="s">
        <v>480</v>
      </c>
      <c r="B88" s="10" t="s">
        <v>11</v>
      </c>
      <c r="C88" s="11">
        <v>1.0</v>
      </c>
      <c r="D88" s="11" t="s">
        <v>139</v>
      </c>
      <c r="E88" s="45" t="s">
        <v>481</v>
      </c>
      <c r="F88" s="10" t="str">
        <f>IFERROR(__xludf.DUMMYFUNCTION("IF(REGEXMATCH($E88,""Wizard""),""Wizard "","""")&amp;IF(REGEXMATCH($E88,""Construct""),""Construct "","""")&amp;IF(REGEXMATCH($E88,""Insect""),""Insect "","""")&amp;IF(REGEXMATCH($E88,""Dragon""),""Dragon "","""")&amp;IF(REGEXMATCH($E88,""Human""),""Human "","""")&amp;IF(REG"&amp;"EXMATCH($E88,""Hunter""),""Hunter "","""")&amp;IF(REGEXMATCH($E88,""Animal""),""Animal "","""")&amp;IF(REGEXMATCH($E88,""Undead""),""Undead "","""")&amp;IF(REGEXMATCH($E88,""Plant""),""Plant "","""")&amp;IF(REGEXMATCH($E88,""Dinosaur""),""Dinosaur "","""")&amp;IF(REGEXMATCH("&amp;"$E88,""Warrior""),""Warrior "","""")&amp;IF(REGEXMATCH($E88,""Spirit""),""Spirit "","""")&amp;IF(REGEXMATCH($E88,""Angel""),""Angel "","""")&amp;IF(REGEXMATCH($E88,""Demon""),""Demon "","""")&amp;IF(REGEXMATCH($E88,""Divine""),""Divine "","""")&amp;IF(REGEXMATCH($E88,""Eleme"&amp;"ntal""),""Elemental "","""")&amp;IF(REGEXMATCH($E88,""Nature""),""Nature "","""")&amp;IF(REGEXMATCH($E88,""Mortal""),""Mortal "","""")&amp;IF(REGEXMATCH($E88,""Void""),""Void "","""")&amp;IF(REGEXMATCH($E88,""Unearth|Ambush|Ritual|unearth|ambush|ritual""),""Unearth "","""&amp;""")&amp;IF(REGEXMATCH($E88,""Unleash|Crystallize|all realms|Crystalborn|crystallize""),""Ramp "","""")&amp;IF(REGEXMATCH($E88,""Demon""),""Demon "","""")&amp;IF(REGEXMATCH($E88,""bury|buries|Bury|Buries|Cleanse|puts a Unit|trail|Trail""),""Control "","""")&amp;IF(REGEXMA"&amp;"TCH($E88,""Bounce|Return|Copy|bounce|return|copy""),""Copy "","""")&amp;IF(REGEXMATCH($E88,""conquer|Conquer|leading in lanes|lead by""),""Aggro "","""")&amp;IF(REGEXMATCH($E88,""Ascend|ascend""),""Ascend "","""")&amp;IF(REGEXMATCH($E88,""Bury .+ Crystal|.*crystal.*b"&amp;"ury""),""Empty-Crystal"","""")&amp;IF(REGEXMATCH($E88,""Move|move""),""Move"","""")"),"Unearth Control ")</f>
        <v>Unearth Control </v>
      </c>
      <c r="G88" s="12" t="s">
        <v>482</v>
      </c>
      <c r="H88" s="21">
        <v>6.0</v>
      </c>
      <c r="I88" s="11" t="s">
        <v>483</v>
      </c>
      <c r="J88" s="11" t="s">
        <v>50</v>
      </c>
      <c r="L88" s="13" t="str">
        <f>IFERROR(__xludf.DUMMYFUNCTION("IF(REGEXMATCH($B88,L$1),$D88,"""")"),"Animal")</f>
        <v>Animal</v>
      </c>
      <c r="M88" s="13" t="str">
        <f>IFERROR(__xludf.DUMMYFUNCTION("IF(REGEXMATCH($B88,M$1),$D88,"""")"),"")</f>
        <v/>
      </c>
      <c r="N88" s="13" t="str">
        <f>IFERROR(__xludf.DUMMYFUNCTION("IF(REGEXMATCH($B88,N$1),$D88,"""")"),"")</f>
        <v/>
      </c>
      <c r="O88" s="13" t="str">
        <f>IFERROR(__xludf.DUMMYFUNCTION("IF(REGEXMATCH($B88,O$1),$D88,"""")"),"")</f>
        <v/>
      </c>
      <c r="P88" s="13" t="str">
        <f>IFERROR(__xludf.DUMMYFUNCTION("IF(REGEXMATCH($B88,P$1),$D88,"""")"),"")</f>
        <v/>
      </c>
      <c r="Q88" s="13">
        <f>IFERROR(__xludf.DUMMYFUNCTION("IF($A88="""","""",LEN(REGEXREPLACE($I88,"",\s?"","""")))"),5.0)</f>
        <v>5</v>
      </c>
      <c r="R88" s="14" t="s">
        <v>484</v>
      </c>
      <c r="S88" s="15" t="s">
        <v>485</v>
      </c>
      <c r="T88" s="15" t="s">
        <v>486</v>
      </c>
      <c r="U88" s="15" t="s">
        <v>487</v>
      </c>
      <c r="V88" s="15" t="s">
        <v>488</v>
      </c>
      <c r="W88" s="15" t="s">
        <v>489</v>
      </c>
      <c r="X88" s="15" t="s">
        <v>490</v>
      </c>
      <c r="Y88" s="15" t="s">
        <v>491</v>
      </c>
      <c r="Z88" s="13"/>
      <c r="AA88" s="13"/>
      <c r="AB88" s="13"/>
    </row>
    <row r="89" hidden="1">
      <c r="A89" s="46" t="s">
        <v>492</v>
      </c>
      <c r="B89" s="47" t="s">
        <v>11</v>
      </c>
      <c r="C89" s="48">
        <v>0.0</v>
      </c>
      <c r="D89" s="48" t="s">
        <v>195</v>
      </c>
      <c r="E89" s="49" t="s">
        <v>493</v>
      </c>
      <c r="F89" s="10" t="str">
        <f>IFERROR(__xludf.DUMMYFUNCTION("IF(REGEXMATCH($E89,""Wizard""),""Wizard "","""")&amp;IF(REGEXMATCH($E89,""Construct""),""Construct "","""")&amp;IF(REGEXMATCH($E89,""Insect""),""Insect "","""")&amp;IF(REGEXMATCH($E89,""Dragon""),""Dragon "","""")&amp;IF(REGEXMATCH($E89,""Human""),""Human "","""")&amp;IF(REG"&amp;"EXMATCH($E89,""Hunter""),""Hunter "","""")&amp;IF(REGEXMATCH($E89,""Animal""),""Animal "","""")&amp;IF(REGEXMATCH($E89,""Undead""),""Undead "","""")&amp;IF(REGEXMATCH($E89,""Plant""),""Plant "","""")&amp;IF(REGEXMATCH($E89,""Dinosaur""),""Dinosaur "","""")&amp;IF(REGEXMATCH("&amp;"$E89,""Warrior""),""Warrior "","""")&amp;IF(REGEXMATCH($E89,""Spirit""),""Spirit "","""")&amp;IF(REGEXMATCH($E89,""Angel""),""Angel "","""")&amp;IF(REGEXMATCH($E89,""Demon""),""Demon "","""")&amp;IF(REGEXMATCH($E89,""Divine""),""Divine "","""")&amp;IF(REGEXMATCH($E89,""Eleme"&amp;"ntal""),""Elemental "","""")&amp;IF(REGEXMATCH($E89,""Nature""),""Nature "","""")&amp;IF(REGEXMATCH($E89,""Mortal""),""Mortal "","""")&amp;IF(REGEXMATCH($E89,""Void""),""Void "","""")&amp;IF(REGEXMATCH($E89,""Unearth|Ambush|Ritual|unearth|ambush|ritual""),""Unearth "","""&amp;""")&amp;IF(REGEXMATCH($E89,""Unleash|Crystallize|all realms|Crystalborn|crystallize""),""Ramp "","""")&amp;IF(REGEXMATCH($E89,""Demon""),""Demon "","""")&amp;IF(REGEXMATCH($E89,""bury|buries|Bury|Buries|Cleanse|puts a Unit|trail|Trail""),""Control "","""")&amp;IF(REGEXMA"&amp;"TCH($E89,""Bounce|Return|Copy|bounce|return|copy""),""Copy "","""")&amp;IF(REGEXMATCH($E89,""conquer|Conquer|leading in lanes|lead by""),""Aggro "","""")&amp;IF(REGEXMATCH($E89,""Ascend|ascend""),""Ascend "","""")&amp;IF(REGEXMATCH($E89,""Bury .+ Crystal|.*crystal.*b"&amp;"ury""),""Empty-Crystal"","""")&amp;IF(REGEXMATCH($E89,""Move|move""),""Move"","""")"),"Aggro ")</f>
        <v>Aggro </v>
      </c>
      <c r="G89" s="50" t="s">
        <v>494</v>
      </c>
      <c r="H89" s="51">
        <v>2.0</v>
      </c>
      <c r="I89" s="48" t="s">
        <v>403</v>
      </c>
      <c r="J89" s="51" t="s">
        <v>42</v>
      </c>
      <c r="L89" s="13" t="str">
        <f>IFERROR(__xludf.DUMMYFUNCTION("IF(REGEXMATCH($B89,L$1),$D89,"""")"),"Animal Hunter")</f>
        <v>Animal Hunter</v>
      </c>
      <c r="M89" s="13" t="str">
        <f>IFERROR(__xludf.DUMMYFUNCTION("IF(REGEXMATCH($B89,M$1),$D89,"""")"),"")</f>
        <v/>
      </c>
      <c r="N89" s="13" t="str">
        <f>IFERROR(__xludf.DUMMYFUNCTION("IF(REGEXMATCH($B89,N$1),$D89,"""")"),"")</f>
        <v/>
      </c>
      <c r="O89" s="13" t="str">
        <f>IFERROR(__xludf.DUMMYFUNCTION("IF(REGEXMATCH($B89,O$1),$D89,"""")"),"")</f>
        <v/>
      </c>
      <c r="P89" s="13" t="str">
        <f>IFERROR(__xludf.DUMMYFUNCTION("IF(REGEXMATCH($B89,P$1),$D89,"""")"),"")</f>
        <v/>
      </c>
      <c r="Q89" s="13">
        <f>IFERROR(__xludf.DUMMYFUNCTION("IF($A89="""","""",LEN(REGEXREPLACE($I89,"",\s?"","""")))"),2.0)</f>
        <v>2</v>
      </c>
      <c r="S89" s="13"/>
      <c r="T89" s="13"/>
      <c r="U89" s="13"/>
      <c r="V89" s="13"/>
      <c r="W89" s="13"/>
      <c r="X89" s="13"/>
      <c r="Y89" s="13"/>
      <c r="Z89" s="13"/>
      <c r="AA89" s="13"/>
      <c r="AB89" s="13"/>
    </row>
    <row r="90">
      <c r="A90" s="29" t="s">
        <v>495</v>
      </c>
      <c r="B90" s="10" t="s">
        <v>11</v>
      </c>
      <c r="C90" s="11">
        <v>1.0</v>
      </c>
      <c r="D90" s="11" t="s">
        <v>405</v>
      </c>
      <c r="E90" s="19" t="s">
        <v>496</v>
      </c>
      <c r="F90" s="10" t="str">
        <f>IFERROR(__xludf.DUMMYFUNCTION("IF(REGEXMATCH($E90,""Wizard""),""Wizard "","""")&amp;IF(REGEXMATCH($E90,""Construct""),""Construct "","""")&amp;IF(REGEXMATCH($E90,""Insect""),""Insect "","""")&amp;IF(REGEXMATCH($E90,""Dragon""),""Dragon "","""")&amp;IF(REGEXMATCH($E90,""Human""),""Human "","""")&amp;IF(REG"&amp;"EXMATCH($E90,""Hunter""),""Hunter "","""")&amp;IF(REGEXMATCH($E90,""Animal""),""Animal "","""")&amp;IF(REGEXMATCH($E90,""Undead""),""Undead "","""")&amp;IF(REGEXMATCH($E90,""Plant""),""Plant "","""")&amp;IF(REGEXMATCH($E90,""Dinosaur""),""Dinosaur "","""")&amp;IF(REGEXMATCH("&amp;"$E90,""Warrior""),""Warrior "","""")&amp;IF(REGEXMATCH($E90,""Spirit""),""Spirit "","""")&amp;IF(REGEXMATCH($E90,""Angel""),""Angel "","""")&amp;IF(REGEXMATCH($E90,""Demon""),""Demon "","""")&amp;IF(REGEXMATCH($E90,""Divine""),""Divine "","""")&amp;IF(REGEXMATCH($E90,""Eleme"&amp;"ntal""),""Elemental "","""")&amp;IF(REGEXMATCH($E90,""Nature""),""Nature "","""")&amp;IF(REGEXMATCH($E90,""Mortal""),""Mortal "","""")&amp;IF(REGEXMATCH($E90,""Void""),""Void "","""")&amp;IF(REGEXMATCH($E90,""Unearth|Ambush|Ritual|unearth|ambush|ritual""),""Unearth "","""&amp;""")&amp;IF(REGEXMATCH($E90,""Unleash|Crystallize|all realms|Crystalborn|crystallize""),""Ramp "","""")&amp;IF(REGEXMATCH($E90,""Demon""),""Demon "","""")&amp;IF(REGEXMATCH($E90,""bury|buries|Bury|Buries|Cleanse|puts a Unit|trail|Trail""),""Control "","""")&amp;IF(REGEXMA"&amp;"TCH($E90,""Bounce|Return|Copy|bounce|return|copy""),""Copy "","""")&amp;IF(REGEXMATCH($E90,""conquer|Conquer|leading in lanes|lead by""),""Aggro "","""")&amp;IF(REGEXMATCH($E90,""Ascend|ascend""),""Ascend "","""")&amp;IF(REGEXMATCH($E90,""Bury .+ Crystal|.*crystal.*b"&amp;"ury""),""Empty-Crystal"","""")&amp;IF(REGEXMATCH($E90,""Move|move""),""Move"","""")"),"Wizard ")</f>
        <v>Wizard </v>
      </c>
      <c r="G90" s="20" t="s">
        <v>497</v>
      </c>
      <c r="H90" s="21">
        <v>2.0</v>
      </c>
      <c r="I90" s="11" t="s">
        <v>403</v>
      </c>
      <c r="J90" s="21" t="s">
        <v>50</v>
      </c>
      <c r="L90" s="13" t="str">
        <f>IFERROR(__xludf.DUMMYFUNCTION("IF(REGEXMATCH($B90,L$1),$D90,"""")"),"Animal Wizard")</f>
        <v>Animal Wizard</v>
      </c>
      <c r="M90" s="13" t="str">
        <f>IFERROR(__xludf.DUMMYFUNCTION("IF(REGEXMATCH($B90,M$1),$D90,"""")"),"")</f>
        <v/>
      </c>
      <c r="N90" s="13" t="str">
        <f>IFERROR(__xludf.DUMMYFUNCTION("IF(REGEXMATCH($B90,N$1),$D90,"""")"),"")</f>
        <v/>
      </c>
      <c r="O90" s="13" t="str">
        <f>IFERROR(__xludf.DUMMYFUNCTION("IF(REGEXMATCH($B90,O$1),$D90,"""")"),"")</f>
        <v/>
      </c>
      <c r="P90" s="13" t="str">
        <f>IFERROR(__xludf.DUMMYFUNCTION("IF(REGEXMATCH($B90,P$1),$D90,"""")"),"")</f>
        <v/>
      </c>
      <c r="Q90" s="13">
        <f>IFERROR(__xludf.DUMMYFUNCTION("IF($A90="""","""",LEN(REGEXREPLACE($I90,"",\s?"","""")))"),2.0)</f>
        <v>2</v>
      </c>
      <c r="R90" s="14" t="s">
        <v>498</v>
      </c>
      <c r="S90" s="15" t="s">
        <v>499</v>
      </c>
      <c r="T90" s="15" t="s">
        <v>500</v>
      </c>
      <c r="U90" s="15" t="s">
        <v>501</v>
      </c>
      <c r="V90" s="15" t="s">
        <v>502</v>
      </c>
      <c r="W90" s="15" t="s">
        <v>503</v>
      </c>
      <c r="X90" s="15" t="s">
        <v>504</v>
      </c>
      <c r="Y90" s="13"/>
      <c r="Z90" s="13"/>
      <c r="AA90" s="13"/>
      <c r="AB90" s="13"/>
    </row>
    <row r="91">
      <c r="A91" s="19" t="s">
        <v>505</v>
      </c>
      <c r="B91" s="19" t="s">
        <v>11</v>
      </c>
      <c r="C91" s="18">
        <v>1.0</v>
      </c>
      <c r="D91" s="52" t="s">
        <v>258</v>
      </c>
      <c r="E91" s="53" t="s">
        <v>506</v>
      </c>
      <c r="F91" s="10" t="str">
        <f>IFERROR(__xludf.DUMMYFUNCTION("IF(REGEXMATCH($E91,""Wizard""),""Wizard "","""")&amp;IF(REGEXMATCH($E91,""Construct""),""Construct "","""")&amp;IF(REGEXMATCH($E91,""Insect""),""Insect "","""")&amp;IF(REGEXMATCH($E91,""Dragon""),""Dragon "","""")&amp;IF(REGEXMATCH($E91,""Human""),""Human "","""")&amp;IF(REG"&amp;"EXMATCH($E91,""Hunter""),""Hunter "","""")&amp;IF(REGEXMATCH($E91,""Animal""),""Animal "","""")&amp;IF(REGEXMATCH($E91,""Undead""),""Undead "","""")&amp;IF(REGEXMATCH($E91,""Plant""),""Plant "","""")&amp;IF(REGEXMATCH($E91,""Dinosaur""),""Dinosaur "","""")&amp;IF(REGEXMATCH("&amp;"$E91,""Warrior""),""Warrior "","""")&amp;IF(REGEXMATCH($E91,""Spirit""),""Spirit "","""")&amp;IF(REGEXMATCH($E91,""Angel""),""Angel "","""")&amp;IF(REGEXMATCH($E91,""Demon""),""Demon "","""")&amp;IF(REGEXMATCH($E91,""Divine""),""Divine "","""")&amp;IF(REGEXMATCH($E91,""Eleme"&amp;"ntal""),""Elemental "","""")&amp;IF(REGEXMATCH($E91,""Nature""),""Nature "","""")&amp;IF(REGEXMATCH($E91,""Mortal""),""Mortal "","""")&amp;IF(REGEXMATCH($E91,""Void""),""Void "","""")&amp;IF(REGEXMATCH($E91,""Unearth|Ambush|Ritual|unearth|ambush|ritual""),""Unearth "","""&amp;""")&amp;IF(REGEXMATCH($E91,""Unleash|Crystallize|all realms|Crystalborn|crystallize""),""Ramp "","""")&amp;IF(REGEXMATCH($E91,""Demon""),""Demon "","""")&amp;IF(REGEXMATCH($E91,""bury|buries|Bury|Buries|Cleanse|puts a Unit|trail|Trail""),""Control "","""")&amp;IF(REGEXMA"&amp;"TCH($E91,""Bounce|Return|Copy|bounce|return|copy""),""Copy "","""")&amp;IF(REGEXMATCH($E91,""conquer|Conquer|leading in lanes|lead by""),""Aggro "","""")&amp;IF(REGEXMATCH($E91,""Ascend|ascend""),""Ascend "","""")&amp;IF(REGEXMATCH($E91,""Bury .+ Crystal|.*crystal.*b"&amp;"ury""),""Empty-Crystal"","""")&amp;IF(REGEXMATCH($E91,""Move|move""),""Move"","""")"),"Ramp ")</f>
        <v>Ramp </v>
      </c>
      <c r="G91" s="20" t="s">
        <v>304</v>
      </c>
      <c r="H91" s="18">
        <v>3.0</v>
      </c>
      <c r="I91" s="18" t="s">
        <v>336</v>
      </c>
      <c r="J91" s="18" t="s">
        <v>42</v>
      </c>
      <c r="L91" s="13" t="str">
        <f>IFERROR(__xludf.DUMMYFUNCTION("IF(REGEXMATCH($B91,L$1),$D91,"""")"),"Construct Spirit")</f>
        <v>Construct Spirit</v>
      </c>
      <c r="M91" s="13" t="str">
        <f>IFERROR(__xludf.DUMMYFUNCTION("IF(REGEXMATCH($B91,M$1),$D91,"""")"),"")</f>
        <v/>
      </c>
      <c r="N91" s="13" t="str">
        <f>IFERROR(__xludf.DUMMYFUNCTION("IF(REGEXMATCH($B91,N$1),$D91,"""")"),"")</f>
        <v/>
      </c>
      <c r="O91" s="13" t="str">
        <f>IFERROR(__xludf.DUMMYFUNCTION("IF(REGEXMATCH($B91,O$1),$D91,"""")"),"")</f>
        <v/>
      </c>
      <c r="P91" s="13" t="str">
        <f>IFERROR(__xludf.DUMMYFUNCTION("IF(REGEXMATCH($B91,P$1),$D91,"""")"),"")</f>
        <v/>
      </c>
      <c r="Q91" s="13">
        <f>IFERROR(__xludf.DUMMYFUNCTION("IF($A91="""","""",LEN(REGEXREPLACE($I91,"",\s?"","""")))"),3.0)</f>
        <v>3</v>
      </c>
      <c r="R91" s="14" t="s">
        <v>507</v>
      </c>
      <c r="S91" s="15" t="s">
        <v>508</v>
      </c>
      <c r="T91" s="15" t="s">
        <v>509</v>
      </c>
      <c r="U91" s="15" t="s">
        <v>510</v>
      </c>
      <c r="V91" s="15" t="s">
        <v>511</v>
      </c>
      <c r="W91" s="15" t="s">
        <v>512</v>
      </c>
      <c r="X91" s="15" t="s">
        <v>513</v>
      </c>
      <c r="Y91" s="15" t="s">
        <v>514</v>
      </c>
      <c r="Z91" s="15" t="s">
        <v>515</v>
      </c>
      <c r="AA91" s="15" t="s">
        <v>516</v>
      </c>
      <c r="AB91" s="15" t="s">
        <v>517</v>
      </c>
    </row>
    <row r="92" hidden="1">
      <c r="A92" s="10" t="s">
        <v>518</v>
      </c>
      <c r="B92" s="43" t="s">
        <v>11</v>
      </c>
      <c r="C92" s="11">
        <v>2.0</v>
      </c>
      <c r="D92" s="11" t="s">
        <v>519</v>
      </c>
      <c r="E92" s="10" t="s">
        <v>520</v>
      </c>
      <c r="F92" s="10" t="str">
        <f>IFERROR(__xludf.DUMMYFUNCTION("IF(REGEXMATCH($E92,""Wizard""),""Wizard "","""")&amp;IF(REGEXMATCH($E92,""Construct""),""Construct "","""")&amp;IF(REGEXMATCH($E92,""Insect""),""Insect "","""")&amp;IF(REGEXMATCH($E92,""Dragon""),""Dragon "","""")&amp;IF(REGEXMATCH($E92,""Human""),""Human "","""")&amp;IF(REG"&amp;"EXMATCH($E92,""Hunter""),""Hunter "","""")&amp;IF(REGEXMATCH($E92,""Animal""),""Animal "","""")&amp;IF(REGEXMATCH($E92,""Undead""),""Undead "","""")&amp;IF(REGEXMATCH($E92,""Plant""),""Plant "","""")&amp;IF(REGEXMATCH($E92,""Dinosaur""),""Dinosaur "","""")&amp;IF(REGEXMATCH("&amp;"$E92,""Warrior""),""Warrior "","""")&amp;IF(REGEXMATCH($E92,""Spirit""),""Spirit "","""")&amp;IF(REGEXMATCH($E92,""Angel""),""Angel "","""")&amp;IF(REGEXMATCH($E92,""Demon""),""Demon "","""")&amp;IF(REGEXMATCH($E92,""Divine""),""Divine "","""")&amp;IF(REGEXMATCH($E92,""Eleme"&amp;"ntal""),""Elemental "","""")&amp;IF(REGEXMATCH($E92,""Nature""),""Nature "","""")&amp;IF(REGEXMATCH($E92,""Mortal""),""Mortal "","""")&amp;IF(REGEXMATCH($E92,""Void""),""Void "","""")&amp;IF(REGEXMATCH($E92,""Unearth|Ambush|Ritual|unearth|ambush|ritual""),""Unearth "","""&amp;""")&amp;IF(REGEXMATCH($E92,""Unleash|Crystallize|all realms|Crystalborn|crystallize""),""Ramp "","""")&amp;IF(REGEXMATCH($E92,""Demon""),""Demon "","""")&amp;IF(REGEXMATCH($E92,""bury|buries|Bury|Buries|Cleanse|puts a Unit|trail|Trail""),""Control "","""")&amp;IF(REGEXMA"&amp;"TCH($E92,""Bounce|Return|Copy|bounce|return|copy""),""Copy "","""")&amp;IF(REGEXMATCH($E92,""conquer|Conquer|leading in lanes|lead by""),""Aggro "","""")&amp;IF(REGEXMATCH($E92,""Ascend|ascend""),""Ascend "","""")&amp;IF(REGEXMATCH($E92,""Bury .+ Crystal|.*crystal.*b"&amp;"ury""),""Empty-Crystal"","""")&amp;IF(REGEXMATCH($E92,""Move|move""),""Move"","""")"),"Control ")</f>
        <v>Control </v>
      </c>
      <c r="G92" s="12" t="s">
        <v>521</v>
      </c>
      <c r="H92" s="11">
        <v>1.0</v>
      </c>
      <c r="I92" s="11" t="s">
        <v>356</v>
      </c>
      <c r="J92" s="11" t="s">
        <v>42</v>
      </c>
      <c r="L92" s="13" t="str">
        <f>IFERROR(__xludf.DUMMYFUNCTION("IF(REGEXMATCH($B92,L$1),$D92,"""")"),"Insect")</f>
        <v>Insect</v>
      </c>
      <c r="M92" s="13" t="str">
        <f>IFERROR(__xludf.DUMMYFUNCTION("IF(REGEXMATCH($B92,M$1),$D92,"""")"),"")</f>
        <v/>
      </c>
      <c r="N92" s="13" t="str">
        <f>IFERROR(__xludf.DUMMYFUNCTION("IF(REGEXMATCH($B92,N$1),$D92,"""")"),"")</f>
        <v/>
      </c>
      <c r="O92" s="13" t="str">
        <f>IFERROR(__xludf.DUMMYFUNCTION("IF(REGEXMATCH($B92,O$1),$D92,"""")"),"")</f>
        <v/>
      </c>
      <c r="P92" s="13" t="str">
        <f>IFERROR(__xludf.DUMMYFUNCTION("IF(REGEXMATCH($B92,P$1),$D92,"""")"),"")</f>
        <v/>
      </c>
      <c r="Q92" s="13">
        <f>IFERROR(__xludf.DUMMYFUNCTION("IF($A92="""","""",LEN(REGEXREPLACE($I92,"",\s?"","""")))"),1.0)</f>
        <v>1</v>
      </c>
      <c r="S92" s="13"/>
      <c r="T92" s="13"/>
      <c r="U92" s="13"/>
      <c r="V92" s="13"/>
      <c r="W92" s="13"/>
      <c r="X92" s="13"/>
      <c r="Y92" s="13"/>
      <c r="Z92" s="13"/>
      <c r="AA92" s="13"/>
      <c r="AB92" s="13"/>
    </row>
    <row r="93">
      <c r="A93" s="10" t="s">
        <v>522</v>
      </c>
      <c r="B93" s="10" t="s">
        <v>11</v>
      </c>
      <c r="C93" s="11">
        <v>1.0</v>
      </c>
      <c r="D93" s="18" t="s">
        <v>523</v>
      </c>
      <c r="E93" s="19" t="s">
        <v>524</v>
      </c>
      <c r="F93" s="10" t="str">
        <f>IFERROR(__xludf.DUMMYFUNCTION("IF(REGEXMATCH($E93,""Wizard""),""Wizard "","""")&amp;IF(REGEXMATCH($E93,""Construct""),""Construct "","""")&amp;IF(REGEXMATCH($E93,""Insect""),""Insect "","""")&amp;IF(REGEXMATCH($E93,""Dragon""),""Dragon "","""")&amp;IF(REGEXMATCH($E93,""Human""),""Human "","""")&amp;IF(REG"&amp;"EXMATCH($E93,""Hunter""),""Hunter "","""")&amp;IF(REGEXMATCH($E93,""Animal""),""Animal "","""")&amp;IF(REGEXMATCH($E93,""Undead""),""Undead "","""")&amp;IF(REGEXMATCH($E93,""Plant""),""Plant "","""")&amp;IF(REGEXMATCH($E93,""Dinosaur""),""Dinosaur "","""")&amp;IF(REGEXMATCH("&amp;"$E93,""Warrior""),""Warrior "","""")&amp;IF(REGEXMATCH($E93,""Spirit""),""Spirit "","""")&amp;IF(REGEXMATCH($E93,""Angel""),""Angel "","""")&amp;IF(REGEXMATCH($E93,""Demon""),""Demon "","""")&amp;IF(REGEXMATCH($E93,""Divine""),""Divine "","""")&amp;IF(REGEXMATCH($E93,""Eleme"&amp;"ntal""),""Elemental "","""")&amp;IF(REGEXMATCH($E93,""Nature""),""Nature "","""")&amp;IF(REGEXMATCH($E93,""Mortal""),""Mortal "","""")&amp;IF(REGEXMATCH($E93,""Void""),""Void "","""")&amp;IF(REGEXMATCH($E93,""Unearth|Ambush|Ritual|unearth|ambush|ritual""),""Unearth "","""&amp;""")&amp;IF(REGEXMATCH($E93,""Unleash|Crystallize|all realms|Crystalborn|crystallize""),""Ramp "","""")&amp;IF(REGEXMATCH($E93,""Demon""),""Demon "","""")&amp;IF(REGEXMATCH($E93,""bury|buries|Bury|Buries|Cleanse|puts a Unit|trail|Trail""),""Control "","""")&amp;IF(REGEXMA"&amp;"TCH($E93,""Bounce|Return|Copy|bounce|return|copy""),""Copy "","""")&amp;IF(REGEXMATCH($E93,""conquer|Conquer|leading in lanes|lead by""),""Aggro "","""")&amp;IF(REGEXMATCH($E93,""Ascend|ascend""),""Ascend "","""")&amp;IF(REGEXMATCH($E93,""Bury .+ Crystal|.*crystal.*b"&amp;"ury""),""Empty-Crystal"","""")&amp;IF(REGEXMATCH($E93,""Move|move""),""Move"","""")"),"Control Empty-Crystal")</f>
        <v>Control Empty-Crystal</v>
      </c>
      <c r="G93" s="20" t="s">
        <v>525</v>
      </c>
      <c r="H93" s="18">
        <v>6.0</v>
      </c>
      <c r="I93" s="18" t="s">
        <v>392</v>
      </c>
      <c r="J93" s="11" t="s">
        <v>50</v>
      </c>
      <c r="L93" s="13" t="str">
        <f>IFERROR(__xludf.DUMMYFUNCTION("IF(REGEXMATCH($B93,L$1),$D93,"""")"),"Crystalblight? Dragon Wizard")</f>
        <v>Crystalblight? Dragon Wizard</v>
      </c>
      <c r="M93" s="13" t="str">
        <f>IFERROR(__xludf.DUMMYFUNCTION("IF(REGEXMATCH($B93,M$1),$D93,"""")"),"")</f>
        <v/>
      </c>
      <c r="N93" s="13" t="str">
        <f>IFERROR(__xludf.DUMMYFUNCTION("IF(REGEXMATCH($B93,N$1),$D93,"""")"),"")</f>
        <v/>
      </c>
      <c r="O93" s="13" t="str">
        <f>IFERROR(__xludf.DUMMYFUNCTION("IF(REGEXMATCH($B93,O$1),$D93,"""")"),"")</f>
        <v/>
      </c>
      <c r="P93" s="13" t="str">
        <f>IFERROR(__xludf.DUMMYFUNCTION("IF(REGEXMATCH($B93,P$1),$D93,"""")"),"")</f>
        <v/>
      </c>
      <c r="Q93" s="13">
        <f>IFERROR(__xludf.DUMMYFUNCTION("IF($A93="""","""",LEN(REGEXREPLACE($I93,"",\s?"","""")))"),4.0)</f>
        <v>4</v>
      </c>
      <c r="R93" s="14" t="s">
        <v>526</v>
      </c>
      <c r="S93" s="15" t="s">
        <v>527</v>
      </c>
      <c r="T93" s="15" t="s">
        <v>528</v>
      </c>
      <c r="U93" s="15" t="s">
        <v>529</v>
      </c>
      <c r="V93" s="15" t="s">
        <v>530</v>
      </c>
      <c r="W93" s="15" t="s">
        <v>531</v>
      </c>
      <c r="X93" s="15" t="s">
        <v>532</v>
      </c>
      <c r="Y93" s="13"/>
      <c r="Z93" s="13"/>
      <c r="AA93" s="13"/>
      <c r="AB93" s="13"/>
    </row>
    <row r="94" hidden="1">
      <c r="A94" s="19" t="s">
        <v>533</v>
      </c>
      <c r="B94" s="38" t="s">
        <v>11</v>
      </c>
      <c r="C94" s="18">
        <v>2.0</v>
      </c>
      <c r="D94" s="18" t="s">
        <v>345</v>
      </c>
      <c r="E94" s="19" t="s">
        <v>534</v>
      </c>
      <c r="F94" s="10" t="str">
        <f>IFERROR(__xludf.DUMMYFUNCTION("IF(REGEXMATCH($E94,""Wizard""),""Wizard "","""")&amp;IF(REGEXMATCH($E94,""Construct""),""Construct "","""")&amp;IF(REGEXMATCH($E94,""Insect""),""Insect "","""")&amp;IF(REGEXMATCH($E94,""Dragon""),""Dragon "","""")&amp;IF(REGEXMATCH($E94,""Human""),""Human "","""")&amp;IF(REG"&amp;"EXMATCH($E94,""Hunter""),""Hunter "","""")&amp;IF(REGEXMATCH($E94,""Animal""),""Animal "","""")&amp;IF(REGEXMATCH($E94,""Undead""),""Undead "","""")&amp;IF(REGEXMATCH($E94,""Plant""),""Plant "","""")&amp;IF(REGEXMATCH($E94,""Dinosaur""),""Dinosaur "","""")&amp;IF(REGEXMATCH("&amp;"$E94,""Warrior""),""Warrior "","""")&amp;IF(REGEXMATCH($E94,""Spirit""),""Spirit "","""")&amp;IF(REGEXMATCH($E94,""Angel""),""Angel "","""")&amp;IF(REGEXMATCH($E94,""Demon""),""Demon "","""")&amp;IF(REGEXMATCH($E94,""Divine""),""Divine "","""")&amp;IF(REGEXMATCH($E94,""Eleme"&amp;"ntal""),""Elemental "","""")&amp;IF(REGEXMATCH($E94,""Nature""),""Nature "","""")&amp;IF(REGEXMATCH($E94,""Mortal""),""Mortal "","""")&amp;IF(REGEXMATCH($E94,""Void""),""Void "","""")&amp;IF(REGEXMATCH($E94,""Unearth|Ambush|Ritual|unearth|ambush|ritual""),""Unearth "","""&amp;""")&amp;IF(REGEXMATCH($E94,""Unleash|Crystallize|all realms|Crystalborn|crystallize""),""Ramp "","""")&amp;IF(REGEXMATCH($E94,""Demon""),""Demon "","""")&amp;IF(REGEXMATCH($E94,""bury|buries|Bury|Buries|Cleanse|puts a Unit|trail|Trail""),""Control "","""")&amp;IF(REGEXMA"&amp;"TCH($E94,""Bounce|Return|Copy|bounce|return|copy""),""Copy "","""")&amp;IF(REGEXMATCH($E94,""conquer|Conquer|leading in lanes|lead by""),""Aggro "","""")&amp;IF(REGEXMATCH($E94,""Ascend|ascend""),""Ascend "","""")&amp;IF(REGEXMATCH($E94,""Bury .+ Crystal|.*crystal.*b"&amp;"ury""),""Empty-Crystal"","""")&amp;IF(REGEXMATCH($E94,""Move|move""),""Move"","""")"),"Ramp Move")</f>
        <v>Ramp Move</v>
      </c>
      <c r="G94" s="20" t="s">
        <v>304</v>
      </c>
      <c r="H94" s="18">
        <v>4.0</v>
      </c>
      <c r="I94" s="18" t="s">
        <v>535</v>
      </c>
      <c r="J94" s="18" t="s">
        <v>42</v>
      </c>
      <c r="L94" s="13" t="str">
        <f>IFERROR(__xludf.DUMMYFUNCTION("IF(REGEXMATCH($B94,L$1),$D94,"""")"),"Human Wizard")</f>
        <v>Human Wizard</v>
      </c>
      <c r="M94" s="13" t="str">
        <f>IFERROR(__xludf.DUMMYFUNCTION("IF(REGEXMATCH($B94,M$1),$D94,"""")"),"")</f>
        <v/>
      </c>
      <c r="N94" s="13" t="str">
        <f>IFERROR(__xludf.DUMMYFUNCTION("IF(REGEXMATCH($B94,N$1),$D94,"""")"),"")</f>
        <v/>
      </c>
      <c r="O94" s="13" t="str">
        <f>IFERROR(__xludf.DUMMYFUNCTION("IF(REGEXMATCH($B94,O$1),$D94,"""")"),"")</f>
        <v/>
      </c>
      <c r="P94" s="13" t="str">
        <f>IFERROR(__xludf.DUMMYFUNCTION("IF(REGEXMATCH($B94,P$1),$D94,"""")"),"")</f>
        <v/>
      </c>
      <c r="Q94" s="13">
        <f>IFERROR(__xludf.DUMMYFUNCTION("IF($A94="""","""",LEN(REGEXREPLACE($I94,"",\s?"","""")))"),4.0)</f>
        <v>4</v>
      </c>
      <c r="S94" s="13"/>
      <c r="T94" s="13"/>
      <c r="U94" s="13"/>
      <c r="V94" s="13"/>
      <c r="W94" s="13"/>
      <c r="X94" s="13"/>
      <c r="Y94" s="13"/>
      <c r="Z94" s="13"/>
      <c r="AA94" s="13"/>
      <c r="AB94" s="13"/>
    </row>
    <row r="95" hidden="1">
      <c r="A95" s="19" t="s">
        <v>536</v>
      </c>
      <c r="B95" s="19" t="s">
        <v>11</v>
      </c>
      <c r="C95" s="18">
        <v>2.0</v>
      </c>
      <c r="D95" s="18" t="s">
        <v>389</v>
      </c>
      <c r="E95" s="19" t="s">
        <v>537</v>
      </c>
      <c r="F95" s="10" t="str">
        <f>IFERROR(__xludf.DUMMYFUNCTION("IF(REGEXMATCH($E95,""Wizard""),""Wizard "","""")&amp;IF(REGEXMATCH($E95,""Construct""),""Construct "","""")&amp;IF(REGEXMATCH($E95,""Insect""),""Insect "","""")&amp;IF(REGEXMATCH($E95,""Dragon""),""Dragon "","""")&amp;IF(REGEXMATCH($E95,""Human""),""Human "","""")&amp;IF(REG"&amp;"EXMATCH($E95,""Hunter""),""Hunter "","""")&amp;IF(REGEXMATCH($E95,""Animal""),""Animal "","""")&amp;IF(REGEXMATCH($E95,""Undead""),""Undead "","""")&amp;IF(REGEXMATCH($E95,""Plant""),""Plant "","""")&amp;IF(REGEXMATCH($E95,""Dinosaur""),""Dinosaur "","""")&amp;IF(REGEXMATCH("&amp;"$E95,""Warrior""),""Warrior "","""")&amp;IF(REGEXMATCH($E95,""Spirit""),""Spirit "","""")&amp;IF(REGEXMATCH($E95,""Angel""),""Angel "","""")&amp;IF(REGEXMATCH($E95,""Demon""),""Demon "","""")&amp;IF(REGEXMATCH($E95,""Divine""),""Divine "","""")&amp;IF(REGEXMATCH($E95,""Eleme"&amp;"ntal""),""Elemental "","""")&amp;IF(REGEXMATCH($E95,""Nature""),""Nature "","""")&amp;IF(REGEXMATCH($E95,""Mortal""),""Mortal "","""")&amp;IF(REGEXMATCH($E95,""Void""),""Void "","""")&amp;IF(REGEXMATCH($E95,""Unearth|Ambush|Ritual|unearth|ambush|ritual""),""Unearth "","""&amp;""")&amp;IF(REGEXMATCH($E95,""Unleash|Crystallize|all realms|Crystalborn|crystallize""),""Ramp "","""")&amp;IF(REGEXMATCH($E95,""Demon""),""Demon "","""")&amp;IF(REGEXMATCH($E95,""bury|buries|Bury|Buries|Cleanse|puts a Unit|trail|Trail""),""Control "","""")&amp;IF(REGEXMA"&amp;"TCH($E95,""Bounce|Return|Copy|bounce|return|copy""),""Copy "","""")&amp;IF(REGEXMATCH($E95,""conquer|Conquer|leading in lanes|lead by""),""Aggro "","""")&amp;IF(REGEXMATCH($E95,""Ascend|ascend""),""Ascend "","""")&amp;IF(REGEXMATCH($E95,""Bury .+ Crystal|.*crystal.*b"&amp;"ury""),""Empty-Crystal"","""")&amp;IF(REGEXMATCH($E95,""Move|move""),""Move"","""")"),"Wizard Copy ")</f>
        <v>Wizard Copy </v>
      </c>
      <c r="G95" s="20" t="s">
        <v>538</v>
      </c>
      <c r="H95" s="18">
        <v>3.0</v>
      </c>
      <c r="I95" s="18" t="s">
        <v>370</v>
      </c>
      <c r="J95" s="18" t="s">
        <v>33</v>
      </c>
      <c r="L95" s="13" t="str">
        <f>IFERROR(__xludf.DUMMYFUNCTION("IF(REGEXMATCH($B95,L$1),$D95,"""")"),"Dragon Wizard")</f>
        <v>Dragon Wizard</v>
      </c>
      <c r="M95" s="13" t="str">
        <f>IFERROR(__xludf.DUMMYFUNCTION("IF(REGEXMATCH($B95,M$1),$D95,"""")"),"")</f>
        <v/>
      </c>
      <c r="N95" s="13" t="str">
        <f>IFERROR(__xludf.DUMMYFUNCTION("IF(REGEXMATCH($B95,N$1),$D95,"""")"),"")</f>
        <v/>
      </c>
      <c r="O95" s="13" t="str">
        <f>IFERROR(__xludf.DUMMYFUNCTION("IF(REGEXMATCH($B95,O$1),$D95,"""")"),"")</f>
        <v/>
      </c>
      <c r="P95" s="13" t="str">
        <f>IFERROR(__xludf.DUMMYFUNCTION("IF(REGEXMATCH($B95,P$1),$D95,"""")"),"")</f>
        <v/>
      </c>
      <c r="Q95" s="13">
        <f>IFERROR(__xludf.DUMMYFUNCTION("IF($A95="""","""",LEN(REGEXREPLACE($I95,"",\s?"","""")))"),3.0)</f>
        <v>3</v>
      </c>
      <c r="S95" s="13"/>
      <c r="T95" s="13"/>
      <c r="U95" s="13"/>
      <c r="V95" s="13"/>
      <c r="W95" s="13"/>
      <c r="X95" s="13"/>
      <c r="Y95" s="13"/>
      <c r="Z95" s="13"/>
      <c r="AA95" s="13"/>
      <c r="AB95" s="13"/>
    </row>
    <row r="96" hidden="1">
      <c r="A96" s="19" t="s">
        <v>539</v>
      </c>
      <c r="B96" s="38" t="s">
        <v>11</v>
      </c>
      <c r="C96" s="18">
        <v>2.0</v>
      </c>
      <c r="D96" s="18" t="s">
        <v>540</v>
      </c>
      <c r="E96" s="19" t="s">
        <v>181</v>
      </c>
      <c r="F96" s="10" t="str">
        <f>IFERROR(__xludf.DUMMYFUNCTION("IF(REGEXMATCH($E96,""Wizard""),""Wizard "","""")&amp;IF(REGEXMATCH($E96,""Construct""),""Construct "","""")&amp;IF(REGEXMATCH($E96,""Insect""),""Insect "","""")&amp;IF(REGEXMATCH($E96,""Dragon""),""Dragon "","""")&amp;IF(REGEXMATCH($E96,""Human""),""Human "","""")&amp;IF(REG"&amp;"EXMATCH($E96,""Hunter""),""Hunter "","""")&amp;IF(REGEXMATCH($E96,""Animal""),""Animal "","""")&amp;IF(REGEXMATCH($E96,""Undead""),""Undead "","""")&amp;IF(REGEXMATCH($E96,""Plant""),""Plant "","""")&amp;IF(REGEXMATCH($E96,""Dinosaur""),""Dinosaur "","""")&amp;IF(REGEXMATCH("&amp;"$E96,""Warrior""),""Warrior "","""")&amp;IF(REGEXMATCH($E96,""Spirit""),""Spirit "","""")&amp;IF(REGEXMATCH($E96,""Angel""),""Angel "","""")&amp;IF(REGEXMATCH($E96,""Demon""),""Demon "","""")&amp;IF(REGEXMATCH($E96,""Divine""),""Divine "","""")&amp;IF(REGEXMATCH($E96,""Eleme"&amp;"ntal""),""Elemental "","""")&amp;IF(REGEXMATCH($E96,""Nature""),""Nature "","""")&amp;IF(REGEXMATCH($E96,""Mortal""),""Mortal "","""")&amp;IF(REGEXMATCH($E96,""Void""),""Void "","""")&amp;IF(REGEXMATCH($E96,""Unearth|Ambush|Ritual|unearth|ambush|ritual""),""Unearth "","""&amp;""")&amp;IF(REGEXMATCH($E96,""Unleash|Crystallize|all realms|Crystalborn|crystallize""),""Ramp "","""")&amp;IF(REGEXMATCH($E96,""Demon""),""Demon "","""")&amp;IF(REGEXMATCH($E96,""bury|buries|Bury|Buries|Cleanse|puts a Unit|trail|Trail""),""Control "","""")&amp;IF(REGEXMA"&amp;"TCH($E96,""Bounce|Return|Copy|bounce|return|copy""),""Copy "","""")&amp;IF(REGEXMATCH($E96,""conquer|Conquer|leading in lanes|lead by""),""Aggro "","""")&amp;IF(REGEXMATCH($E96,""Ascend|ascend""),""Ascend "","""")&amp;IF(REGEXMATCH($E96,""Bury .+ Crystal|.*crystal.*b"&amp;"ury""),""Empty-Crystal"","""")&amp;IF(REGEXMATCH($E96,""Move|move""),""Move"","""")"),"")</f>
        <v/>
      </c>
      <c r="G96" s="20" t="s">
        <v>541</v>
      </c>
      <c r="H96" s="18">
        <v>2.0</v>
      </c>
      <c r="I96" s="18" t="s">
        <v>403</v>
      </c>
      <c r="J96" s="18" t="s">
        <v>42</v>
      </c>
      <c r="L96" s="13" t="str">
        <f>IFERROR(__xludf.DUMMYFUNCTION("IF(REGEXMATCH($B96,L$1),$D96,"""")"),"Warrior")</f>
        <v>Warrior</v>
      </c>
      <c r="M96" s="13" t="str">
        <f>IFERROR(__xludf.DUMMYFUNCTION("IF(REGEXMATCH($B96,M$1),$D96,"""")"),"")</f>
        <v/>
      </c>
      <c r="N96" s="13" t="str">
        <f>IFERROR(__xludf.DUMMYFUNCTION("IF(REGEXMATCH($B96,N$1),$D96,"""")"),"")</f>
        <v/>
      </c>
      <c r="O96" s="13" t="str">
        <f>IFERROR(__xludf.DUMMYFUNCTION("IF(REGEXMATCH($B96,O$1),$D96,"""")"),"")</f>
        <v/>
      </c>
      <c r="P96" s="13" t="str">
        <f>IFERROR(__xludf.DUMMYFUNCTION("IF(REGEXMATCH($B96,P$1),$D96,"""")"),"")</f>
        <v/>
      </c>
      <c r="Q96" s="13">
        <f>IFERROR(__xludf.DUMMYFUNCTION("IF($A96="""","""",LEN(REGEXREPLACE($I96,"",\s?"","""")))"),2.0)</f>
        <v>2</v>
      </c>
      <c r="S96" s="13"/>
      <c r="T96" s="13"/>
      <c r="U96" s="13"/>
      <c r="V96" s="13"/>
      <c r="W96" s="13"/>
      <c r="X96" s="13"/>
      <c r="Y96" s="13"/>
      <c r="Z96" s="13"/>
      <c r="AA96" s="13"/>
      <c r="AB96" s="13"/>
    </row>
    <row r="97">
      <c r="A97" s="19" t="s">
        <v>542</v>
      </c>
      <c r="B97" s="19" t="s">
        <v>11</v>
      </c>
      <c r="C97" s="18">
        <v>1.0</v>
      </c>
      <c r="D97" s="18" t="s">
        <v>543</v>
      </c>
      <c r="E97" s="19" t="s">
        <v>544</v>
      </c>
      <c r="F97" s="10" t="str">
        <f>IFERROR(__xludf.DUMMYFUNCTION("IF(REGEXMATCH($E97,""Wizard""),""Wizard "","""")&amp;IF(REGEXMATCH($E97,""Construct""),""Construct "","""")&amp;IF(REGEXMATCH($E97,""Insect""),""Insect "","""")&amp;IF(REGEXMATCH($E97,""Dragon""),""Dragon "","""")&amp;IF(REGEXMATCH($E97,""Human""),""Human "","""")&amp;IF(REG"&amp;"EXMATCH($E97,""Hunter""),""Hunter "","""")&amp;IF(REGEXMATCH($E97,""Animal""),""Animal "","""")&amp;IF(REGEXMATCH($E97,""Undead""),""Undead "","""")&amp;IF(REGEXMATCH($E97,""Plant""),""Plant "","""")&amp;IF(REGEXMATCH($E97,""Dinosaur""),""Dinosaur "","""")&amp;IF(REGEXMATCH("&amp;"$E97,""Warrior""),""Warrior "","""")&amp;IF(REGEXMATCH($E97,""Spirit""),""Spirit "","""")&amp;IF(REGEXMATCH($E97,""Angel""),""Angel "","""")&amp;IF(REGEXMATCH($E97,""Demon""),""Demon "","""")&amp;IF(REGEXMATCH($E97,""Divine""),""Divine "","""")&amp;IF(REGEXMATCH($E97,""Eleme"&amp;"ntal""),""Elemental "","""")&amp;IF(REGEXMATCH($E97,""Nature""),""Nature "","""")&amp;IF(REGEXMATCH($E97,""Mortal""),""Mortal "","""")&amp;IF(REGEXMATCH($E97,""Void""),""Void "","""")&amp;IF(REGEXMATCH($E97,""Unearth|Ambush|Ritual|unearth|ambush|ritual""),""Unearth "","""&amp;""")&amp;IF(REGEXMATCH($E97,""Unleash|Crystallize|all realms|Crystalborn|crystallize""),""Ramp "","""")&amp;IF(REGEXMATCH($E97,""Demon""),""Demon "","""")&amp;IF(REGEXMATCH($E97,""bury|buries|Bury|Buries|Cleanse|puts a Unit|trail|Trail""),""Control "","""")&amp;IF(REGEXMA"&amp;"TCH($E97,""Bounce|Return|Copy|bounce|return|copy""),""Copy "","""")&amp;IF(REGEXMATCH($E97,""conquer|Conquer|leading in lanes|lead by""),""Aggro "","""")&amp;IF(REGEXMATCH($E97,""Ascend|ascend""),""Ascend "","""")&amp;IF(REGEXMATCH($E97,""Bury .+ Crystal|.*crystal.*b"&amp;"ury""),""Empty-Crystal"","""")&amp;IF(REGEXMATCH($E97,""Move|move""),""Move"","""")"),"Copy ")</f>
        <v>Copy </v>
      </c>
      <c r="G97" s="20" t="s">
        <v>48</v>
      </c>
      <c r="H97" s="18">
        <v>3.0</v>
      </c>
      <c r="I97" s="18" t="s">
        <v>545</v>
      </c>
      <c r="J97" s="18" t="s">
        <v>50</v>
      </c>
      <c r="L97" s="13" t="str">
        <f>IFERROR(__xludf.DUMMYFUNCTION("IF(REGEXMATCH($B97,L$1),$D97,"""")"),"Demon Dinosaur")</f>
        <v>Demon Dinosaur</v>
      </c>
      <c r="M97" s="13" t="str">
        <f>IFERROR(__xludf.DUMMYFUNCTION("IF(REGEXMATCH($B97,M$1),$D97,"""")"),"")</f>
        <v/>
      </c>
      <c r="N97" s="13" t="str">
        <f>IFERROR(__xludf.DUMMYFUNCTION("IF(REGEXMATCH($B97,N$1),$D97,"""")"),"")</f>
        <v/>
      </c>
      <c r="O97" s="13" t="str">
        <f>IFERROR(__xludf.DUMMYFUNCTION("IF(REGEXMATCH($B97,O$1),$D97,"""")"),"")</f>
        <v/>
      </c>
      <c r="P97" s="13" t="str">
        <f>IFERROR(__xludf.DUMMYFUNCTION("IF(REGEXMATCH($B97,P$1),$D97,"""")"),"")</f>
        <v/>
      </c>
      <c r="Q97" s="13">
        <f>IFERROR(__xludf.DUMMYFUNCTION("IF($A97="""","""",LEN(REGEXREPLACE($I97,"",\s?"","""")))"),6.0)</f>
        <v>6</v>
      </c>
      <c r="R97" s="14" t="s">
        <v>546</v>
      </c>
      <c r="S97" s="15" t="s">
        <v>547</v>
      </c>
      <c r="T97" s="15" t="s">
        <v>548</v>
      </c>
      <c r="U97" s="15" t="s">
        <v>549</v>
      </c>
      <c r="V97" s="15" t="s">
        <v>550</v>
      </c>
      <c r="W97" s="15" t="s">
        <v>551</v>
      </c>
      <c r="X97" s="13"/>
      <c r="Y97" s="13"/>
      <c r="Z97" s="13"/>
      <c r="AA97" s="13"/>
      <c r="AB97" s="13"/>
    </row>
    <row r="98" hidden="1">
      <c r="A98" s="10" t="s">
        <v>552</v>
      </c>
      <c r="B98" s="43" t="s">
        <v>11</v>
      </c>
      <c r="C98" s="11">
        <v>2.0</v>
      </c>
      <c r="D98" s="11" t="s">
        <v>345</v>
      </c>
      <c r="E98" s="10" t="s">
        <v>553</v>
      </c>
      <c r="F98" s="10" t="str">
        <f>IFERROR(__xludf.DUMMYFUNCTION("IF(REGEXMATCH($E98,""Wizard""),""Wizard "","""")&amp;IF(REGEXMATCH($E98,""Construct""),""Construct "","""")&amp;IF(REGEXMATCH($E98,""Insect""),""Insect "","""")&amp;IF(REGEXMATCH($E98,""Dragon""),""Dragon "","""")&amp;IF(REGEXMATCH($E98,""Human""),""Human "","""")&amp;IF(REG"&amp;"EXMATCH($E98,""Hunter""),""Hunter "","""")&amp;IF(REGEXMATCH($E98,""Animal""),""Animal "","""")&amp;IF(REGEXMATCH($E98,""Undead""),""Undead "","""")&amp;IF(REGEXMATCH($E98,""Plant""),""Plant "","""")&amp;IF(REGEXMATCH($E98,""Dinosaur""),""Dinosaur "","""")&amp;IF(REGEXMATCH("&amp;"$E98,""Warrior""),""Warrior "","""")&amp;IF(REGEXMATCH($E98,""Spirit""),""Spirit "","""")&amp;IF(REGEXMATCH($E98,""Angel""),""Angel "","""")&amp;IF(REGEXMATCH($E98,""Demon""),""Demon "","""")&amp;IF(REGEXMATCH($E98,""Divine""),""Divine "","""")&amp;IF(REGEXMATCH($E98,""Eleme"&amp;"ntal""),""Elemental "","""")&amp;IF(REGEXMATCH($E98,""Nature""),""Nature "","""")&amp;IF(REGEXMATCH($E98,""Mortal""),""Mortal "","""")&amp;IF(REGEXMATCH($E98,""Void""),""Void "","""")&amp;IF(REGEXMATCH($E98,""Unearth|Ambush|Ritual|unearth|ambush|ritual""),""Unearth "","""&amp;""")&amp;IF(REGEXMATCH($E98,""Unleash|Crystallize|all realms|Crystalborn|crystallize""),""Ramp "","""")&amp;IF(REGEXMATCH($E98,""Demon""),""Demon "","""")&amp;IF(REGEXMATCH($E98,""bury|buries|Bury|Buries|Cleanse|puts a Unit|trail|Trail""),""Control "","""")&amp;IF(REGEXMA"&amp;"TCH($E98,""Bounce|Return|Copy|bounce|return|copy""),""Copy "","""")&amp;IF(REGEXMATCH($E98,""conquer|Conquer|leading in lanes|lead by""),""Aggro "","""")&amp;IF(REGEXMATCH($E98,""Ascend|ascend""),""Ascend "","""")&amp;IF(REGEXMATCH($E98,""Bury .+ Crystal|.*crystal.*b"&amp;"ury""),""Empty-Crystal"","""")&amp;IF(REGEXMATCH($E98,""Move|move""),""Move"","""")"),"Elemental Ascend ")</f>
        <v>Elemental Ascend </v>
      </c>
      <c r="G98" s="12" t="s">
        <v>40</v>
      </c>
      <c r="H98" s="11">
        <v>1.0</v>
      </c>
      <c r="I98" s="11" t="s">
        <v>356</v>
      </c>
      <c r="J98" s="11" t="s">
        <v>42</v>
      </c>
      <c r="L98" s="13" t="str">
        <f>IFERROR(__xludf.DUMMYFUNCTION("IF(REGEXMATCH($B98,L$1),$D98,"""")"),"Human Wizard")</f>
        <v>Human Wizard</v>
      </c>
      <c r="M98" s="13" t="str">
        <f>IFERROR(__xludf.DUMMYFUNCTION("IF(REGEXMATCH($B98,M$1),$D98,"""")"),"")</f>
        <v/>
      </c>
      <c r="N98" s="13" t="str">
        <f>IFERROR(__xludf.DUMMYFUNCTION("IF(REGEXMATCH($B98,N$1),$D98,"""")"),"")</f>
        <v/>
      </c>
      <c r="O98" s="13" t="str">
        <f>IFERROR(__xludf.DUMMYFUNCTION("IF(REGEXMATCH($B98,O$1),$D98,"""")"),"")</f>
        <v/>
      </c>
      <c r="P98" s="13" t="str">
        <f>IFERROR(__xludf.DUMMYFUNCTION("IF(REGEXMATCH($B98,P$1),$D98,"""")"),"")</f>
        <v/>
      </c>
      <c r="Q98" s="13">
        <f>IFERROR(__xludf.DUMMYFUNCTION("IF($A98="""","""",LEN(REGEXREPLACE($I98,"",\s?"","""")))"),1.0)</f>
        <v>1</v>
      </c>
      <c r="S98" s="13"/>
      <c r="T98" s="13"/>
      <c r="U98" s="13"/>
      <c r="V98" s="13"/>
      <c r="W98" s="13"/>
      <c r="X98" s="13"/>
      <c r="Y98" s="13"/>
      <c r="Z98" s="13"/>
      <c r="AA98" s="13"/>
      <c r="AB98" s="13"/>
    </row>
    <row r="99">
      <c r="A99" s="10" t="s">
        <v>554</v>
      </c>
      <c r="B99" s="10" t="s">
        <v>11</v>
      </c>
      <c r="C99" s="11">
        <v>1.0</v>
      </c>
      <c r="D99" s="11" t="s">
        <v>350</v>
      </c>
      <c r="E99" s="10" t="s">
        <v>555</v>
      </c>
      <c r="F99" s="10" t="str">
        <f>IFERROR(__xludf.DUMMYFUNCTION("IF(REGEXMATCH($E99,""Wizard""),""Wizard "","""")&amp;IF(REGEXMATCH($E99,""Construct""),""Construct "","""")&amp;IF(REGEXMATCH($E99,""Insect""),""Insect "","""")&amp;IF(REGEXMATCH($E99,""Dragon""),""Dragon "","""")&amp;IF(REGEXMATCH($E99,""Human""),""Human "","""")&amp;IF(REG"&amp;"EXMATCH($E99,""Hunter""),""Hunter "","""")&amp;IF(REGEXMATCH($E99,""Animal""),""Animal "","""")&amp;IF(REGEXMATCH($E99,""Undead""),""Undead "","""")&amp;IF(REGEXMATCH($E99,""Plant""),""Plant "","""")&amp;IF(REGEXMATCH($E99,""Dinosaur""),""Dinosaur "","""")&amp;IF(REGEXMATCH("&amp;"$E99,""Warrior""),""Warrior "","""")&amp;IF(REGEXMATCH($E99,""Spirit""),""Spirit "","""")&amp;IF(REGEXMATCH($E99,""Angel""),""Angel "","""")&amp;IF(REGEXMATCH($E99,""Demon""),""Demon "","""")&amp;IF(REGEXMATCH($E99,""Divine""),""Divine "","""")&amp;IF(REGEXMATCH($E99,""Eleme"&amp;"ntal""),""Elemental "","""")&amp;IF(REGEXMATCH($E99,""Nature""),""Nature "","""")&amp;IF(REGEXMATCH($E99,""Mortal""),""Mortal "","""")&amp;IF(REGEXMATCH($E99,""Void""),""Void "","""")&amp;IF(REGEXMATCH($E99,""Unearth|Ambush|Ritual|unearth|ambush|ritual""),""Unearth "","""&amp;""")&amp;IF(REGEXMATCH($E99,""Unleash|Crystallize|all realms|Crystalborn|crystallize""),""Ramp "","""")&amp;IF(REGEXMATCH($E99,""Demon""),""Demon "","""")&amp;IF(REGEXMATCH($E99,""bury|buries|Bury|Buries|Cleanse|puts a Unit|trail|Trail""),""Control "","""")&amp;IF(REGEXMA"&amp;"TCH($E99,""Bounce|Return|Copy|bounce|return|copy""),""Copy "","""")&amp;IF(REGEXMATCH($E99,""conquer|Conquer|leading in lanes|lead by""),""Aggro "","""")&amp;IF(REGEXMATCH($E99,""Ascend|ascend""),""Ascend "","""")&amp;IF(REGEXMATCH($E99,""Bury .+ Crystal|.*crystal.*b"&amp;"ury""),""Empty-Crystal"","""")&amp;IF(REGEXMATCH($E99,""Move|move""),""Move"","""")"),"Unearth ")</f>
        <v>Unearth </v>
      </c>
      <c r="G99" s="12" t="s">
        <v>556</v>
      </c>
      <c r="H99" s="11">
        <v>2.0</v>
      </c>
      <c r="I99" s="11" t="s">
        <v>403</v>
      </c>
      <c r="J99" s="11" t="s">
        <v>50</v>
      </c>
      <c r="L99" s="13" t="str">
        <f>IFERROR(__xludf.DUMMYFUNCTION("IF(REGEXMATCH($B99,L$1),$D99,"""")"),"Dragon")</f>
        <v>Dragon</v>
      </c>
      <c r="M99" s="13" t="str">
        <f>IFERROR(__xludf.DUMMYFUNCTION("IF(REGEXMATCH($B99,M$1),$D99,"""")"),"")</f>
        <v/>
      </c>
      <c r="N99" s="13" t="str">
        <f>IFERROR(__xludf.DUMMYFUNCTION("IF(REGEXMATCH($B99,N$1),$D99,"""")"),"")</f>
        <v/>
      </c>
      <c r="O99" s="13" t="str">
        <f>IFERROR(__xludf.DUMMYFUNCTION("IF(REGEXMATCH($B99,O$1),$D99,"""")"),"")</f>
        <v/>
      </c>
      <c r="P99" s="13" t="str">
        <f>IFERROR(__xludf.DUMMYFUNCTION("IF(REGEXMATCH($B99,P$1),$D99,"""")"),"")</f>
        <v/>
      </c>
      <c r="Q99" s="13">
        <f>IFERROR(__xludf.DUMMYFUNCTION("IF($A99="""","""",LEN(REGEXREPLACE($I99,"",\s?"","""")))"),2.0)</f>
        <v>2</v>
      </c>
      <c r="R99" s="14" t="s">
        <v>557</v>
      </c>
      <c r="S99" s="15" t="s">
        <v>558</v>
      </c>
      <c r="T99" s="15" t="s">
        <v>559</v>
      </c>
      <c r="U99" s="15" t="s">
        <v>560</v>
      </c>
      <c r="V99" s="15" t="s">
        <v>561</v>
      </c>
      <c r="W99" s="15" t="s">
        <v>562</v>
      </c>
      <c r="X99" s="15" t="s">
        <v>563</v>
      </c>
      <c r="Y99" s="15" t="s">
        <v>564</v>
      </c>
      <c r="Z99" s="15" t="s">
        <v>565</v>
      </c>
      <c r="AA99" s="15" t="s">
        <v>566</v>
      </c>
      <c r="AB99" s="15" t="s">
        <v>567</v>
      </c>
    </row>
    <row r="100">
      <c r="A100" s="19" t="s">
        <v>568</v>
      </c>
      <c r="B100" s="10" t="s">
        <v>11</v>
      </c>
      <c r="C100" s="11">
        <v>1.0</v>
      </c>
      <c r="D100" s="21" t="s">
        <v>350</v>
      </c>
      <c r="E100" s="19" t="s">
        <v>569</v>
      </c>
      <c r="F100" s="10" t="str">
        <f>IFERROR(__xludf.DUMMYFUNCTION("IF(REGEXMATCH($E100,""Wizard""),""Wizard "","""")&amp;IF(REGEXMATCH($E100,""Construct""),""Construct "","""")&amp;IF(REGEXMATCH($E100,""Insect""),""Insect "","""")&amp;IF(REGEXMATCH($E100,""Dragon""),""Dragon "","""")&amp;IF(REGEXMATCH($E100,""Human""),""Human "","""")&amp;I"&amp;"F(REGEXMATCH($E100,""Hunter""),""Hunter "","""")&amp;IF(REGEXMATCH($E100,""Animal""),""Animal "","""")&amp;IF(REGEXMATCH($E100,""Undead""),""Undead "","""")&amp;IF(REGEXMATCH($E100,""Plant""),""Plant "","""")&amp;IF(REGEXMATCH($E100,""Dinosaur""),""Dinosaur "","""")&amp;IF(R"&amp;"EGEXMATCH($E100,""Warrior""),""Warrior "","""")&amp;IF(REGEXMATCH($E100,""Spirit""),""Spirit "","""")&amp;IF(REGEXMATCH($E100,""Angel""),""Angel "","""")&amp;IF(REGEXMATCH($E100,""Demon""),""Demon "","""")&amp;IF(REGEXMATCH($E100,""Divine""),""Divine "","""")&amp;IF(REGEXMAT"&amp;"CH($E100,""Elemental""),""Elemental "","""")&amp;IF(REGEXMATCH($E100,""Nature""),""Nature "","""")&amp;IF(REGEXMATCH($E100,""Mortal""),""Mortal "","""")&amp;IF(REGEXMATCH($E100,""Void""),""Void "","""")&amp;IF(REGEXMATCH($E100,""Unearth|Ambush|Ritual|unearth|ambush|ritua"&amp;"l""),""Unearth "","""")&amp;IF(REGEXMATCH($E100,""Unleash|Crystallize|all realms|Crystalborn|crystallize""),""Ramp "","""")&amp;IF(REGEXMATCH($E100,""Demon""),""Demon "","""")&amp;IF(REGEXMATCH($E100,""bury|buries|Bury|Buries|Cleanse|puts a Unit|trail|Trail""),""Cont"&amp;"rol "","""")&amp;IF(REGEXMATCH($E100,""Bounce|Return|Copy|bounce|return|copy""),""Copy "","""")&amp;IF(REGEXMATCH($E100,""conquer|Conquer|leading in lanes|lead by""),""Aggro "","""")&amp;IF(REGEXMATCH($E100,""Ascend|ascend""),""Ascend "","""")&amp;IF(REGEXMATCH($E100,""B"&amp;"ury .+ Crystal|.*crystal.*bury""),""Empty-Crystal"","""")&amp;IF(REGEXMATCH($E100,""Move|move""),""Move"","""")"),"")</f>
        <v/>
      </c>
      <c r="G100" s="20" t="s">
        <v>570</v>
      </c>
      <c r="H100" s="21">
        <v>5.0</v>
      </c>
      <c r="I100" s="11" t="s">
        <v>571</v>
      </c>
      <c r="J100" s="21" t="s">
        <v>42</v>
      </c>
      <c r="L100" s="13" t="str">
        <f>IFERROR(__xludf.DUMMYFUNCTION("IF(REGEXMATCH($B100,L$1),$D100,"""")"),"Dragon")</f>
        <v>Dragon</v>
      </c>
      <c r="M100" s="13" t="str">
        <f>IFERROR(__xludf.DUMMYFUNCTION("IF(REGEXMATCH($B100,M$1),$D100,"""")"),"")</f>
        <v/>
      </c>
      <c r="N100" s="13" t="str">
        <f>IFERROR(__xludf.DUMMYFUNCTION("IF(REGEXMATCH($B100,N$1),$D100,"""")"),"")</f>
        <v/>
      </c>
      <c r="O100" s="13" t="str">
        <f>IFERROR(__xludf.DUMMYFUNCTION("IF(REGEXMATCH($B100,O$1),$D100,"""")"),"")</f>
        <v/>
      </c>
      <c r="P100" s="13" t="str">
        <f>IFERROR(__xludf.DUMMYFUNCTION("IF(REGEXMATCH($B100,P$1),$D100,"""")"),"")</f>
        <v/>
      </c>
      <c r="Q100" s="13">
        <f>IFERROR(__xludf.DUMMYFUNCTION("IF($A100="""","""",LEN(REGEXREPLACE($I100,"",\s?"","""")))"),5.0)</f>
        <v>5</v>
      </c>
      <c r="R100" s="14" t="s">
        <v>572</v>
      </c>
      <c r="S100" s="15" t="s">
        <v>573</v>
      </c>
      <c r="T100" s="15" t="s">
        <v>574</v>
      </c>
      <c r="U100" s="15" t="s">
        <v>575</v>
      </c>
      <c r="V100" s="15" t="s">
        <v>576</v>
      </c>
      <c r="W100" s="15" t="s">
        <v>577</v>
      </c>
      <c r="X100" s="15" t="s">
        <v>578</v>
      </c>
      <c r="Y100" s="15" t="s">
        <v>579</v>
      </c>
      <c r="Z100" s="15" t="s">
        <v>580</v>
      </c>
      <c r="AA100" s="15" t="s">
        <v>581</v>
      </c>
      <c r="AB100" s="15" t="s">
        <v>582</v>
      </c>
    </row>
    <row r="101" hidden="1">
      <c r="A101" s="10" t="s">
        <v>583</v>
      </c>
      <c r="B101" s="36" t="s">
        <v>11</v>
      </c>
      <c r="C101" s="11">
        <v>0.0</v>
      </c>
      <c r="D101" s="11" t="s">
        <v>350</v>
      </c>
      <c r="E101" s="10" t="s">
        <v>584</v>
      </c>
      <c r="F101" s="10" t="str">
        <f>IFERROR(__xludf.DUMMYFUNCTION("IF(REGEXMATCH($E101,""Wizard""),""Wizard "","""")&amp;IF(REGEXMATCH($E101,""Construct""),""Construct "","""")&amp;IF(REGEXMATCH($E101,""Insect""),""Insect "","""")&amp;IF(REGEXMATCH($E101,""Dragon""),""Dragon "","""")&amp;IF(REGEXMATCH($E101,""Human""),""Human "","""")&amp;I"&amp;"F(REGEXMATCH($E101,""Hunter""),""Hunter "","""")&amp;IF(REGEXMATCH($E101,""Animal""),""Animal "","""")&amp;IF(REGEXMATCH($E101,""Undead""),""Undead "","""")&amp;IF(REGEXMATCH($E101,""Plant""),""Plant "","""")&amp;IF(REGEXMATCH($E101,""Dinosaur""),""Dinosaur "","""")&amp;IF(R"&amp;"EGEXMATCH($E101,""Warrior""),""Warrior "","""")&amp;IF(REGEXMATCH($E101,""Spirit""),""Spirit "","""")&amp;IF(REGEXMATCH($E101,""Angel""),""Angel "","""")&amp;IF(REGEXMATCH($E101,""Demon""),""Demon "","""")&amp;IF(REGEXMATCH($E101,""Divine""),""Divine "","""")&amp;IF(REGEXMAT"&amp;"CH($E101,""Elemental""),""Elemental "","""")&amp;IF(REGEXMATCH($E101,""Nature""),""Nature "","""")&amp;IF(REGEXMATCH($E101,""Mortal""),""Mortal "","""")&amp;IF(REGEXMATCH($E101,""Void""),""Void "","""")&amp;IF(REGEXMATCH($E101,""Unearth|Ambush|Ritual|unearth|ambush|ritua"&amp;"l""),""Unearth "","""")&amp;IF(REGEXMATCH($E101,""Unleash|Crystallize|all realms|Crystalborn|crystallize""),""Ramp "","""")&amp;IF(REGEXMATCH($E101,""Demon""),""Demon "","""")&amp;IF(REGEXMATCH($E101,""bury|buries|Bury|Buries|Cleanse|puts a Unit|trail|Trail""),""Cont"&amp;"rol "","""")&amp;IF(REGEXMATCH($E101,""Bounce|Return|Copy|bounce|return|copy""),""Copy "","""")&amp;IF(REGEXMATCH($E101,""conquer|Conquer|leading in lanes|lead by""),""Aggro "","""")&amp;IF(REGEXMATCH($E101,""Ascend|ascend""),""Ascend "","""")&amp;IF(REGEXMATCH($E101,""B"&amp;"ury .+ Crystal|.*crystal.*bury""),""Empty-Crystal"","""")&amp;IF(REGEXMATCH($E101,""Move|move""),""Move"","""")"),"Dragon Ramp ")</f>
        <v>Dragon Ramp </v>
      </c>
      <c r="G101" s="12" t="s">
        <v>585</v>
      </c>
      <c r="H101" s="11">
        <v>3.0</v>
      </c>
      <c r="I101" s="11" t="s">
        <v>336</v>
      </c>
      <c r="J101" s="11" t="s">
        <v>42</v>
      </c>
      <c r="L101" s="13" t="str">
        <f>IFERROR(__xludf.DUMMYFUNCTION("IF(REGEXMATCH($B101,L$1),$D101,"""")"),"Dragon")</f>
        <v>Dragon</v>
      </c>
      <c r="M101" s="13" t="str">
        <f>IFERROR(__xludf.DUMMYFUNCTION("IF(REGEXMATCH($B101,M$1),$D101,"""")"),"")</f>
        <v/>
      </c>
      <c r="N101" s="13" t="str">
        <f>IFERROR(__xludf.DUMMYFUNCTION("IF(REGEXMATCH($B101,N$1),$D101,"""")"),"")</f>
        <v/>
      </c>
      <c r="O101" s="13" t="str">
        <f>IFERROR(__xludf.DUMMYFUNCTION("IF(REGEXMATCH($B101,O$1),$D101,"""")"),"")</f>
        <v/>
      </c>
      <c r="P101" s="13" t="str">
        <f>IFERROR(__xludf.DUMMYFUNCTION("IF(REGEXMATCH($B101,P$1),$D101,"""")"),"")</f>
        <v/>
      </c>
      <c r="Q101" s="13">
        <f>IFERROR(__xludf.DUMMYFUNCTION("IF($A101="""","""",LEN(REGEXREPLACE($I101,"",\s?"","""")))"),3.0)</f>
        <v>3</v>
      </c>
      <c r="S101" s="13"/>
      <c r="T101" s="13"/>
      <c r="U101" s="13"/>
      <c r="V101" s="13"/>
      <c r="W101" s="13"/>
      <c r="X101" s="13"/>
      <c r="Y101" s="13"/>
      <c r="Z101" s="13"/>
      <c r="AA101" s="13"/>
      <c r="AB101" s="13"/>
    </row>
    <row r="102" hidden="1">
      <c r="A102" s="19" t="s">
        <v>586</v>
      </c>
      <c r="B102" s="38" t="s">
        <v>11</v>
      </c>
      <c r="C102" s="18">
        <v>2.0</v>
      </c>
      <c r="D102" s="18" t="s">
        <v>389</v>
      </c>
      <c r="E102" s="19" t="s">
        <v>587</v>
      </c>
      <c r="F102" s="10" t="str">
        <f>IFERROR(__xludf.DUMMYFUNCTION("IF(REGEXMATCH($E102,""Wizard""),""Wizard "","""")&amp;IF(REGEXMATCH($E102,""Construct""),""Construct "","""")&amp;IF(REGEXMATCH($E102,""Insect""),""Insect "","""")&amp;IF(REGEXMATCH($E102,""Dragon""),""Dragon "","""")&amp;IF(REGEXMATCH($E102,""Human""),""Human "","""")&amp;I"&amp;"F(REGEXMATCH($E102,""Hunter""),""Hunter "","""")&amp;IF(REGEXMATCH($E102,""Animal""),""Animal "","""")&amp;IF(REGEXMATCH($E102,""Undead""),""Undead "","""")&amp;IF(REGEXMATCH($E102,""Plant""),""Plant "","""")&amp;IF(REGEXMATCH($E102,""Dinosaur""),""Dinosaur "","""")&amp;IF(R"&amp;"EGEXMATCH($E102,""Warrior""),""Warrior "","""")&amp;IF(REGEXMATCH($E102,""Spirit""),""Spirit "","""")&amp;IF(REGEXMATCH($E102,""Angel""),""Angel "","""")&amp;IF(REGEXMATCH($E102,""Demon""),""Demon "","""")&amp;IF(REGEXMATCH($E102,""Divine""),""Divine "","""")&amp;IF(REGEXMAT"&amp;"CH($E102,""Elemental""),""Elemental "","""")&amp;IF(REGEXMATCH($E102,""Nature""),""Nature "","""")&amp;IF(REGEXMATCH($E102,""Mortal""),""Mortal "","""")&amp;IF(REGEXMATCH($E102,""Void""),""Void "","""")&amp;IF(REGEXMATCH($E102,""Unearth|Ambush|Ritual|unearth|ambush|ritua"&amp;"l""),""Unearth "","""")&amp;IF(REGEXMATCH($E102,""Unleash|Crystallize|all realms|Crystalborn|crystallize""),""Ramp "","""")&amp;IF(REGEXMATCH($E102,""Demon""),""Demon "","""")&amp;IF(REGEXMATCH($E102,""bury|buries|Bury|Buries|Cleanse|puts a Unit|trail|Trail""),""Cont"&amp;"rol "","""")&amp;IF(REGEXMATCH($E102,""Bounce|Return|Copy|bounce|return|copy""),""Copy "","""")&amp;IF(REGEXMATCH($E102,""conquer|Conquer|leading in lanes|lead by""),""Aggro "","""")&amp;IF(REGEXMATCH($E102,""Ascend|ascend""),""Ascend "","""")&amp;IF(REGEXMATCH($E102,""B"&amp;"ury .+ Crystal|.*crystal.*bury""),""Empty-Crystal"","""")&amp;IF(REGEXMATCH($E102,""Move|move""),""Move"","""")"),"Ramp Copy ")</f>
        <v>Ramp Copy </v>
      </c>
      <c r="G102" s="20" t="s">
        <v>304</v>
      </c>
      <c r="H102" s="18">
        <v>4.0</v>
      </c>
      <c r="I102" s="18" t="s">
        <v>571</v>
      </c>
      <c r="J102" s="18" t="s">
        <v>33</v>
      </c>
      <c r="L102" s="13" t="str">
        <f>IFERROR(__xludf.DUMMYFUNCTION("IF(REGEXMATCH($B102,L$1),$D102,"""")"),"Dragon Wizard")</f>
        <v>Dragon Wizard</v>
      </c>
      <c r="M102" s="13" t="str">
        <f>IFERROR(__xludf.DUMMYFUNCTION("IF(REGEXMATCH($B102,M$1),$D102,"""")"),"")</f>
        <v/>
      </c>
      <c r="N102" s="13" t="str">
        <f>IFERROR(__xludf.DUMMYFUNCTION("IF(REGEXMATCH($B102,N$1),$D102,"""")"),"")</f>
        <v/>
      </c>
      <c r="O102" s="13" t="str">
        <f>IFERROR(__xludf.DUMMYFUNCTION("IF(REGEXMATCH($B102,O$1),$D102,"""")"),"")</f>
        <v/>
      </c>
      <c r="P102" s="13" t="str">
        <f>IFERROR(__xludf.DUMMYFUNCTION("IF(REGEXMATCH($B102,P$1),$D102,"""")"),"")</f>
        <v/>
      </c>
      <c r="Q102" s="13">
        <f>IFERROR(__xludf.DUMMYFUNCTION("IF($A102="""","""",LEN(REGEXREPLACE($I102,"",\s?"","""")))"),5.0)</f>
        <v>5</v>
      </c>
      <c r="S102" s="13"/>
      <c r="T102" s="13"/>
      <c r="U102" s="13"/>
      <c r="V102" s="13"/>
      <c r="W102" s="13"/>
      <c r="X102" s="13"/>
      <c r="Y102" s="13"/>
      <c r="Z102" s="13"/>
      <c r="AA102" s="13"/>
      <c r="AB102" s="13"/>
    </row>
    <row r="103">
      <c r="A103" s="29" t="s">
        <v>588</v>
      </c>
      <c r="B103" s="10" t="s">
        <v>11</v>
      </c>
      <c r="C103" s="11">
        <v>1.0</v>
      </c>
      <c r="D103" s="21" t="s">
        <v>350</v>
      </c>
      <c r="E103" s="10" t="s">
        <v>589</v>
      </c>
      <c r="F103" s="10" t="str">
        <f>IFERROR(__xludf.DUMMYFUNCTION("IF(REGEXMATCH($E103,""Wizard""),""Wizard "","""")&amp;IF(REGEXMATCH($E103,""Construct""),""Construct "","""")&amp;IF(REGEXMATCH($E103,""Insect""),""Insect "","""")&amp;IF(REGEXMATCH($E103,""Dragon""),""Dragon "","""")&amp;IF(REGEXMATCH($E103,""Human""),""Human "","""")&amp;I"&amp;"F(REGEXMATCH($E103,""Hunter""),""Hunter "","""")&amp;IF(REGEXMATCH($E103,""Animal""),""Animal "","""")&amp;IF(REGEXMATCH($E103,""Undead""),""Undead "","""")&amp;IF(REGEXMATCH($E103,""Plant""),""Plant "","""")&amp;IF(REGEXMATCH($E103,""Dinosaur""),""Dinosaur "","""")&amp;IF(R"&amp;"EGEXMATCH($E103,""Warrior""),""Warrior "","""")&amp;IF(REGEXMATCH($E103,""Spirit""),""Spirit "","""")&amp;IF(REGEXMATCH($E103,""Angel""),""Angel "","""")&amp;IF(REGEXMATCH($E103,""Demon""),""Demon "","""")&amp;IF(REGEXMATCH($E103,""Divine""),""Divine "","""")&amp;IF(REGEXMAT"&amp;"CH($E103,""Elemental""),""Elemental "","""")&amp;IF(REGEXMATCH($E103,""Nature""),""Nature "","""")&amp;IF(REGEXMATCH($E103,""Mortal""),""Mortal "","""")&amp;IF(REGEXMATCH($E103,""Void""),""Void "","""")&amp;IF(REGEXMATCH($E103,""Unearth|Ambush|Ritual|unearth|ambush|ritua"&amp;"l""),""Unearth "","""")&amp;IF(REGEXMATCH($E103,""Unleash|Crystallize|all realms|Crystalborn|crystallize""),""Ramp "","""")&amp;IF(REGEXMATCH($E103,""Demon""),""Demon "","""")&amp;IF(REGEXMATCH($E103,""bury|buries|Bury|Buries|Cleanse|puts a Unit|trail|Trail""),""Cont"&amp;"rol "","""")&amp;IF(REGEXMATCH($E103,""Bounce|Return|Copy|bounce|return|copy""),""Copy "","""")&amp;IF(REGEXMATCH($E103,""conquer|Conquer|leading in lanes|lead by""),""Aggro "","""")&amp;IF(REGEXMATCH($E103,""Ascend|ascend""),""Ascend "","""")&amp;IF(REGEXMATCH($E103,""B"&amp;"ury .+ Crystal|.*crystal.*bury""),""Empty-Crystal"","""")&amp;IF(REGEXMATCH($E103,""Move|move""),""Move"","""")"),"Unearth Aggro ")</f>
        <v>Unearth Aggro </v>
      </c>
      <c r="G103" s="12" t="s">
        <v>590</v>
      </c>
      <c r="H103" s="11">
        <v>2.0</v>
      </c>
      <c r="I103" s="11" t="s">
        <v>356</v>
      </c>
      <c r="J103" s="21" t="s">
        <v>42</v>
      </c>
      <c r="L103" s="13" t="str">
        <f>IFERROR(__xludf.DUMMYFUNCTION("IF(REGEXMATCH($B103,L$1),$D103,"""")"),"Dragon")</f>
        <v>Dragon</v>
      </c>
      <c r="M103" s="13" t="str">
        <f>IFERROR(__xludf.DUMMYFUNCTION("IF(REGEXMATCH($B103,M$1),$D103,"""")"),"")</f>
        <v/>
      </c>
      <c r="N103" s="13" t="str">
        <f>IFERROR(__xludf.DUMMYFUNCTION("IF(REGEXMATCH($B103,N$1),$D103,"""")"),"")</f>
        <v/>
      </c>
      <c r="O103" s="13" t="str">
        <f>IFERROR(__xludf.DUMMYFUNCTION("IF(REGEXMATCH($B103,O$1),$D103,"""")"),"")</f>
        <v/>
      </c>
      <c r="P103" s="13" t="str">
        <f>IFERROR(__xludf.DUMMYFUNCTION("IF(REGEXMATCH($B103,P$1),$D103,"""")"),"")</f>
        <v/>
      </c>
      <c r="Q103" s="13">
        <f>IFERROR(__xludf.DUMMYFUNCTION("IF($A103="""","""",LEN(REGEXREPLACE($I103,"",\s?"","""")))"),1.0)</f>
        <v>1</v>
      </c>
      <c r="R103" s="14" t="s">
        <v>591</v>
      </c>
      <c r="S103" s="15" t="s">
        <v>592</v>
      </c>
      <c r="T103" s="15" t="s">
        <v>593</v>
      </c>
      <c r="U103" s="15" t="s">
        <v>594</v>
      </c>
      <c r="V103" s="15" t="s">
        <v>595</v>
      </c>
      <c r="W103" s="13"/>
      <c r="X103" s="13"/>
      <c r="Y103" s="13"/>
      <c r="Z103" s="13"/>
      <c r="AA103" s="13"/>
      <c r="AB103" s="13"/>
    </row>
    <row r="104">
      <c r="A104" s="10" t="s">
        <v>596</v>
      </c>
      <c r="B104" s="10" t="s">
        <v>11</v>
      </c>
      <c r="C104" s="11">
        <v>1.0</v>
      </c>
      <c r="D104" s="11" t="s">
        <v>350</v>
      </c>
      <c r="E104" s="54" t="s">
        <v>597</v>
      </c>
      <c r="F104" s="10" t="str">
        <f>IFERROR(__xludf.DUMMYFUNCTION("IF(REGEXMATCH($E104,""Wizard""),""Wizard "","""")&amp;IF(REGEXMATCH($E104,""Construct""),""Construct "","""")&amp;IF(REGEXMATCH($E104,""Insect""),""Insect "","""")&amp;IF(REGEXMATCH($E104,""Dragon""),""Dragon "","""")&amp;IF(REGEXMATCH($E104,""Human""),""Human "","""")&amp;I"&amp;"F(REGEXMATCH($E104,""Hunter""),""Hunter "","""")&amp;IF(REGEXMATCH($E104,""Animal""),""Animal "","""")&amp;IF(REGEXMATCH($E104,""Undead""),""Undead "","""")&amp;IF(REGEXMATCH($E104,""Plant""),""Plant "","""")&amp;IF(REGEXMATCH($E104,""Dinosaur""),""Dinosaur "","""")&amp;IF(R"&amp;"EGEXMATCH($E104,""Warrior""),""Warrior "","""")&amp;IF(REGEXMATCH($E104,""Spirit""),""Spirit "","""")&amp;IF(REGEXMATCH($E104,""Angel""),""Angel "","""")&amp;IF(REGEXMATCH($E104,""Demon""),""Demon "","""")&amp;IF(REGEXMATCH($E104,""Divine""),""Divine "","""")&amp;IF(REGEXMAT"&amp;"CH($E104,""Elemental""),""Elemental "","""")&amp;IF(REGEXMATCH($E104,""Nature""),""Nature "","""")&amp;IF(REGEXMATCH($E104,""Mortal""),""Mortal "","""")&amp;IF(REGEXMATCH($E104,""Void""),""Void "","""")&amp;IF(REGEXMATCH($E104,""Unearth|Ambush|Ritual|unearth|ambush|ritua"&amp;"l""),""Unearth "","""")&amp;IF(REGEXMATCH($E104,""Unleash|Crystallize|all realms|Crystalborn|crystallize""),""Ramp "","""")&amp;IF(REGEXMATCH($E104,""Demon""),""Demon "","""")&amp;IF(REGEXMATCH($E104,""bury|buries|Bury|Buries|Cleanse|puts a Unit|trail|Trail""),""Cont"&amp;"rol "","""")&amp;IF(REGEXMATCH($E104,""Bounce|Return|Copy|bounce|return|copy""),""Copy "","""")&amp;IF(REGEXMATCH($E104,""conquer|Conquer|leading in lanes|lead by""),""Aggro "","""")&amp;IF(REGEXMATCH($E104,""Ascend|ascend""),""Ascend "","""")&amp;IF(REGEXMATCH($E104,""B"&amp;"ury .+ Crystal|.*crystal.*bury""),""Empty-Crystal"","""")&amp;IF(REGEXMATCH($E104,""Move|move""),""Move"","""")"),"Control Aggro ")</f>
        <v>Control Aggro </v>
      </c>
      <c r="G104" s="55" t="s">
        <v>598</v>
      </c>
      <c r="H104" s="11">
        <v>5.0</v>
      </c>
      <c r="I104" s="11" t="s">
        <v>571</v>
      </c>
      <c r="J104" s="11" t="s">
        <v>50</v>
      </c>
      <c r="L104" s="13" t="str">
        <f>IFERROR(__xludf.DUMMYFUNCTION("IF(REGEXMATCH($B104,L$1),$D104,"""")"),"Dragon")</f>
        <v>Dragon</v>
      </c>
      <c r="M104" s="13" t="str">
        <f>IFERROR(__xludf.DUMMYFUNCTION("IF(REGEXMATCH($B104,M$1),$D104,"""")"),"")</f>
        <v/>
      </c>
      <c r="N104" s="13" t="str">
        <f>IFERROR(__xludf.DUMMYFUNCTION("IF(REGEXMATCH($B104,N$1),$D104,"""")"),"")</f>
        <v/>
      </c>
      <c r="O104" s="13" t="str">
        <f>IFERROR(__xludf.DUMMYFUNCTION("IF(REGEXMATCH($B104,O$1),$D104,"""")"),"")</f>
        <v/>
      </c>
      <c r="P104" s="13" t="str">
        <f>IFERROR(__xludf.DUMMYFUNCTION("IF(REGEXMATCH($B104,P$1),$D104,"""")"),"")</f>
        <v/>
      </c>
      <c r="Q104" s="13">
        <f>IFERROR(__xludf.DUMMYFUNCTION("IF($A104="""","""",LEN(REGEXREPLACE($I104,"",\s?"","""")))"),5.0)</f>
        <v>5</v>
      </c>
      <c r="R104" s="14" t="s">
        <v>599</v>
      </c>
      <c r="S104" s="15" t="s">
        <v>600</v>
      </c>
      <c r="T104" s="15" t="s">
        <v>601</v>
      </c>
      <c r="U104" s="15" t="s">
        <v>602</v>
      </c>
      <c r="V104" s="15" t="s">
        <v>603</v>
      </c>
      <c r="W104" s="15" t="s">
        <v>604</v>
      </c>
      <c r="X104" s="15" t="s">
        <v>605</v>
      </c>
      <c r="Y104" s="15" t="s">
        <v>606</v>
      </c>
      <c r="Z104" s="15" t="s">
        <v>607</v>
      </c>
      <c r="AA104" s="15" t="s">
        <v>608</v>
      </c>
      <c r="AB104" s="15" t="s">
        <v>609</v>
      </c>
    </row>
    <row r="105">
      <c r="A105" s="19" t="s">
        <v>610</v>
      </c>
      <c r="B105" s="19" t="s">
        <v>11</v>
      </c>
      <c r="C105" s="18">
        <v>1.0</v>
      </c>
      <c r="D105" s="18" t="s">
        <v>350</v>
      </c>
      <c r="E105" s="19"/>
      <c r="F105" s="10" t="str">
        <f>IFERROR(__xludf.DUMMYFUNCTION("IF(REGEXMATCH($E105,""Wizard""),""Wizard "","""")&amp;IF(REGEXMATCH($E105,""Construct""),""Construct "","""")&amp;IF(REGEXMATCH($E105,""Insect""),""Insect "","""")&amp;IF(REGEXMATCH($E105,""Dragon""),""Dragon "","""")&amp;IF(REGEXMATCH($E105,""Human""),""Human "","""")&amp;I"&amp;"F(REGEXMATCH($E105,""Hunter""),""Hunter "","""")&amp;IF(REGEXMATCH($E105,""Animal""),""Animal "","""")&amp;IF(REGEXMATCH($E105,""Undead""),""Undead "","""")&amp;IF(REGEXMATCH($E105,""Plant""),""Plant "","""")&amp;IF(REGEXMATCH($E105,""Dinosaur""),""Dinosaur "","""")&amp;IF(R"&amp;"EGEXMATCH($E105,""Warrior""),""Warrior "","""")&amp;IF(REGEXMATCH($E105,""Spirit""),""Spirit "","""")&amp;IF(REGEXMATCH($E105,""Angel""),""Angel "","""")&amp;IF(REGEXMATCH($E105,""Demon""),""Demon "","""")&amp;IF(REGEXMATCH($E105,""Divine""),""Divine "","""")&amp;IF(REGEXMAT"&amp;"CH($E105,""Elemental""),""Elemental "","""")&amp;IF(REGEXMATCH($E105,""Nature""),""Nature "","""")&amp;IF(REGEXMATCH($E105,""Mortal""),""Mortal "","""")&amp;IF(REGEXMATCH($E105,""Void""),""Void "","""")&amp;IF(REGEXMATCH($E105,""Unearth|Ambush|Ritual|unearth|ambush|ritua"&amp;"l""),""Unearth "","""")&amp;IF(REGEXMATCH($E105,""Unleash|Crystallize|all realms|Crystalborn|crystallize""),""Ramp "","""")&amp;IF(REGEXMATCH($E105,""Demon""),""Demon "","""")&amp;IF(REGEXMATCH($E105,""bury|buries|Bury|Buries|Cleanse|puts a Unit|trail|Trail""),""Cont"&amp;"rol "","""")&amp;IF(REGEXMATCH($E105,""Bounce|Return|Copy|bounce|return|copy""),""Copy "","""")&amp;IF(REGEXMATCH($E105,""conquer|Conquer|leading in lanes|lead by""),""Aggro "","""")&amp;IF(REGEXMATCH($E105,""Ascend|ascend""),""Ascend "","""")&amp;IF(REGEXMATCH($E105,""B"&amp;"ury .+ Crystal|.*crystal.*bury""),""Empty-Crystal"","""")&amp;IF(REGEXMATCH($E105,""Move|move""),""Move"","""")"),"")</f>
        <v/>
      </c>
      <c r="G105" s="20" t="s">
        <v>611</v>
      </c>
      <c r="H105" s="18">
        <v>9.0</v>
      </c>
      <c r="I105" s="18" t="s">
        <v>612</v>
      </c>
      <c r="J105" s="11" t="s">
        <v>42</v>
      </c>
      <c r="L105" s="13" t="str">
        <f>IFERROR(__xludf.DUMMYFUNCTION("IF(REGEXMATCH($B105,L$1),$D105,"""")"),"Dragon")</f>
        <v>Dragon</v>
      </c>
      <c r="M105" s="13" t="str">
        <f>IFERROR(__xludf.DUMMYFUNCTION("IF(REGEXMATCH($B105,M$1),$D105,"""")"),"")</f>
        <v/>
      </c>
      <c r="N105" s="13" t="str">
        <f>IFERROR(__xludf.DUMMYFUNCTION("IF(REGEXMATCH($B105,N$1),$D105,"""")"),"")</f>
        <v/>
      </c>
      <c r="O105" s="13" t="str">
        <f>IFERROR(__xludf.DUMMYFUNCTION("IF(REGEXMATCH($B105,O$1),$D105,"""")"),"")</f>
        <v/>
      </c>
      <c r="P105" s="13" t="str">
        <f>IFERROR(__xludf.DUMMYFUNCTION("IF(REGEXMATCH($B105,P$1),$D105,"""")"),"")</f>
        <v/>
      </c>
      <c r="Q105" s="13">
        <f>IFERROR(__xludf.DUMMYFUNCTION("IF($A105="""","""",LEN(REGEXREPLACE($I105,"",\s?"","""")))"),7.0)</f>
        <v>7</v>
      </c>
      <c r="S105" s="15" t="s">
        <v>613</v>
      </c>
      <c r="T105" s="15" t="s">
        <v>614</v>
      </c>
      <c r="U105" s="13"/>
      <c r="V105" s="13"/>
      <c r="W105" s="13"/>
      <c r="X105" s="13"/>
      <c r="Y105" s="13"/>
      <c r="Z105" s="13"/>
      <c r="AA105" s="13"/>
      <c r="AB105" s="13"/>
    </row>
    <row r="106" hidden="1">
      <c r="A106" s="10" t="s">
        <v>615</v>
      </c>
      <c r="B106" s="36" t="s">
        <v>11</v>
      </c>
      <c r="C106" s="11">
        <v>2.0</v>
      </c>
      <c r="D106" s="11" t="s">
        <v>317</v>
      </c>
      <c r="E106" s="27" t="s">
        <v>616</v>
      </c>
      <c r="F106" s="10" t="str">
        <f>IFERROR(__xludf.DUMMYFUNCTION("IF(REGEXMATCH($E106,""Wizard""),""Wizard "","""")&amp;IF(REGEXMATCH($E106,""Construct""),""Construct "","""")&amp;IF(REGEXMATCH($E106,""Insect""),""Insect "","""")&amp;IF(REGEXMATCH($E106,""Dragon""),""Dragon "","""")&amp;IF(REGEXMATCH($E106,""Human""),""Human "","""")&amp;I"&amp;"F(REGEXMATCH($E106,""Hunter""),""Hunter "","""")&amp;IF(REGEXMATCH($E106,""Animal""),""Animal "","""")&amp;IF(REGEXMATCH($E106,""Undead""),""Undead "","""")&amp;IF(REGEXMATCH($E106,""Plant""),""Plant "","""")&amp;IF(REGEXMATCH($E106,""Dinosaur""),""Dinosaur "","""")&amp;IF(R"&amp;"EGEXMATCH($E106,""Warrior""),""Warrior "","""")&amp;IF(REGEXMATCH($E106,""Spirit""),""Spirit "","""")&amp;IF(REGEXMATCH($E106,""Angel""),""Angel "","""")&amp;IF(REGEXMATCH($E106,""Demon""),""Demon "","""")&amp;IF(REGEXMATCH($E106,""Divine""),""Divine "","""")&amp;IF(REGEXMAT"&amp;"CH($E106,""Elemental""),""Elemental "","""")&amp;IF(REGEXMATCH($E106,""Nature""),""Nature "","""")&amp;IF(REGEXMATCH($E106,""Mortal""),""Mortal "","""")&amp;IF(REGEXMATCH($E106,""Void""),""Void "","""")&amp;IF(REGEXMATCH($E106,""Unearth|Ambush|Ritual|unearth|ambush|ritua"&amp;"l""),""Unearth "","""")&amp;IF(REGEXMATCH($E106,""Unleash|Crystallize|all realms|Crystalborn|crystallize""),""Ramp "","""")&amp;IF(REGEXMATCH($E106,""Demon""),""Demon "","""")&amp;IF(REGEXMATCH($E106,""bury|buries|Bury|Buries|Cleanse|puts a Unit|trail|Trail""),""Cont"&amp;"rol "","""")&amp;IF(REGEXMATCH($E106,""Bounce|Return|Copy|bounce|return|copy""),""Copy "","""")&amp;IF(REGEXMATCH($E106,""conquer|Conquer|leading in lanes|lead by""),""Aggro "","""")&amp;IF(REGEXMATCH($E106,""Ascend|ascend""),""Ascend "","""")&amp;IF(REGEXMATCH($E106,""B"&amp;"ury .+ Crystal|.*crystal.*bury""),""Empty-Crystal"","""")&amp;IF(REGEXMATCH($E106,""Move|move""),""Move"","""")"),"Move")</f>
        <v>Move</v>
      </c>
      <c r="G106" s="39" t="s">
        <v>617</v>
      </c>
      <c r="H106" s="11">
        <v>5.0</v>
      </c>
      <c r="I106" s="11" t="s">
        <v>545</v>
      </c>
      <c r="J106" s="11" t="s">
        <v>33</v>
      </c>
      <c r="L106" s="13" t="str">
        <f>IFERROR(__xludf.DUMMYFUNCTION("IF(REGEXMATCH($B106,L$1),$D106,"""")"),"Spirit")</f>
        <v>Spirit</v>
      </c>
      <c r="M106" s="13" t="str">
        <f>IFERROR(__xludf.DUMMYFUNCTION("IF(REGEXMATCH($B106,M$1),$D106,"""")"),"")</f>
        <v/>
      </c>
      <c r="N106" s="13" t="str">
        <f>IFERROR(__xludf.DUMMYFUNCTION("IF(REGEXMATCH($B106,N$1),$D106,"""")"),"")</f>
        <v/>
      </c>
      <c r="O106" s="13" t="str">
        <f>IFERROR(__xludf.DUMMYFUNCTION("IF(REGEXMATCH($B106,O$1),$D106,"""")"),"")</f>
        <v/>
      </c>
      <c r="P106" s="13" t="str">
        <f>IFERROR(__xludf.DUMMYFUNCTION("IF(REGEXMATCH($B106,P$1),$D106,"""")"),"")</f>
        <v/>
      </c>
      <c r="Q106" s="13">
        <f>IFERROR(__xludf.DUMMYFUNCTION("IF($A106="""","""",LEN(REGEXREPLACE($I106,"",\s?"","""")))"),6.0)</f>
        <v>6</v>
      </c>
      <c r="S106" s="13"/>
      <c r="T106" s="13"/>
      <c r="U106" s="13"/>
      <c r="V106" s="13"/>
      <c r="W106" s="13"/>
      <c r="X106" s="13"/>
      <c r="Y106" s="13"/>
      <c r="Z106" s="13"/>
      <c r="AA106" s="13"/>
      <c r="AB106" s="13"/>
    </row>
    <row r="107">
      <c r="A107" s="22" t="s">
        <v>618</v>
      </c>
      <c r="B107" s="10" t="s">
        <v>11</v>
      </c>
      <c r="C107" s="11">
        <v>1.0</v>
      </c>
      <c r="D107" s="11" t="s">
        <v>619</v>
      </c>
      <c r="E107" s="10" t="s">
        <v>620</v>
      </c>
      <c r="F107" s="10" t="str">
        <f>IFERROR(__xludf.DUMMYFUNCTION("IF(REGEXMATCH($E107,""Wizard""),""Wizard "","""")&amp;IF(REGEXMATCH($E107,""Construct""),""Construct "","""")&amp;IF(REGEXMATCH($E107,""Insect""),""Insect "","""")&amp;IF(REGEXMATCH($E107,""Dragon""),""Dragon "","""")&amp;IF(REGEXMATCH($E107,""Human""),""Human "","""")&amp;I"&amp;"F(REGEXMATCH($E107,""Hunter""),""Hunter "","""")&amp;IF(REGEXMATCH($E107,""Animal""),""Animal "","""")&amp;IF(REGEXMATCH($E107,""Undead""),""Undead "","""")&amp;IF(REGEXMATCH($E107,""Plant""),""Plant "","""")&amp;IF(REGEXMATCH($E107,""Dinosaur""),""Dinosaur "","""")&amp;IF(R"&amp;"EGEXMATCH($E107,""Warrior""),""Warrior "","""")&amp;IF(REGEXMATCH($E107,""Spirit""),""Spirit "","""")&amp;IF(REGEXMATCH($E107,""Angel""),""Angel "","""")&amp;IF(REGEXMATCH($E107,""Demon""),""Demon "","""")&amp;IF(REGEXMATCH($E107,""Divine""),""Divine "","""")&amp;IF(REGEXMAT"&amp;"CH($E107,""Elemental""),""Elemental "","""")&amp;IF(REGEXMATCH($E107,""Nature""),""Nature "","""")&amp;IF(REGEXMATCH($E107,""Mortal""),""Mortal "","""")&amp;IF(REGEXMATCH($E107,""Void""),""Void "","""")&amp;IF(REGEXMATCH($E107,""Unearth|Ambush|Ritual|unearth|ambush|ritua"&amp;"l""),""Unearth "","""")&amp;IF(REGEXMATCH($E107,""Unleash|Crystallize|all realms|Crystalborn|crystallize""),""Ramp "","""")&amp;IF(REGEXMATCH($E107,""Demon""),""Demon "","""")&amp;IF(REGEXMATCH($E107,""bury|buries|Bury|Buries|Cleanse|puts a Unit|trail|Trail""),""Cont"&amp;"rol "","""")&amp;IF(REGEXMATCH($E107,""Bounce|Return|Copy|bounce|return|copy""),""Copy "","""")&amp;IF(REGEXMATCH($E107,""conquer|Conquer|leading in lanes|lead by""),""Aggro "","""")&amp;IF(REGEXMATCH($E107,""Ascend|ascend""),""Ascend "","""")&amp;IF(REGEXMATCH($E107,""B"&amp;"ury .+ Crystal|.*crystal.*bury""),""Empty-Crystal"","""")&amp;IF(REGEXMATCH($E107,""Move|move""),""Move"","""")"),"Ramp ")</f>
        <v>Ramp </v>
      </c>
      <c r="G107" s="12" t="s">
        <v>621</v>
      </c>
      <c r="H107" s="11">
        <v>5.0</v>
      </c>
      <c r="I107" s="11" t="s">
        <v>545</v>
      </c>
      <c r="J107" s="11" t="s">
        <v>42</v>
      </c>
      <c r="L107" s="13" t="str">
        <f>IFERROR(__xludf.DUMMYFUNCTION("IF(REGEXMATCH($B107,L$1),$D107,"""")"),"Dragon Human")</f>
        <v>Dragon Human</v>
      </c>
      <c r="M107" s="13" t="str">
        <f>IFERROR(__xludf.DUMMYFUNCTION("IF(REGEXMATCH($B107,M$1),$D107,"""")"),"")</f>
        <v/>
      </c>
      <c r="N107" s="13" t="str">
        <f>IFERROR(__xludf.DUMMYFUNCTION("IF(REGEXMATCH($B107,N$1),$D107,"""")"),"")</f>
        <v/>
      </c>
      <c r="O107" s="13" t="str">
        <f>IFERROR(__xludf.DUMMYFUNCTION("IF(REGEXMATCH($B107,O$1),$D107,"""")"),"")</f>
        <v/>
      </c>
      <c r="P107" s="13" t="str">
        <f>IFERROR(__xludf.DUMMYFUNCTION("IF(REGEXMATCH($B107,P$1),$D107,"""")"),"")</f>
        <v/>
      </c>
      <c r="Q107" s="13">
        <f>IFERROR(__xludf.DUMMYFUNCTION("IF($A107="""","""",LEN(REGEXREPLACE($I107,"",\s?"","""")))"),6.0)</f>
        <v>6</v>
      </c>
      <c r="S107" s="13"/>
      <c r="T107" s="13"/>
      <c r="U107" s="13"/>
      <c r="V107" s="13"/>
      <c r="W107" s="13"/>
      <c r="X107" s="13"/>
      <c r="Y107" s="13"/>
      <c r="Z107" s="13"/>
      <c r="AA107" s="13"/>
      <c r="AB107" s="13"/>
    </row>
    <row r="108">
      <c r="A108" s="10" t="s">
        <v>622</v>
      </c>
      <c r="B108" s="10" t="s">
        <v>11</v>
      </c>
      <c r="C108" s="11">
        <v>1.0</v>
      </c>
      <c r="D108" s="11" t="s">
        <v>623</v>
      </c>
      <c r="E108" s="19" t="s">
        <v>624</v>
      </c>
      <c r="F108" s="10" t="str">
        <f>IFERROR(__xludf.DUMMYFUNCTION("IF(REGEXMATCH($E108,""Wizard""),""Wizard "","""")&amp;IF(REGEXMATCH($E108,""Construct""),""Construct "","""")&amp;IF(REGEXMATCH($E108,""Insect""),""Insect "","""")&amp;IF(REGEXMATCH($E108,""Dragon""),""Dragon "","""")&amp;IF(REGEXMATCH($E108,""Human""),""Human "","""")&amp;I"&amp;"F(REGEXMATCH($E108,""Hunter""),""Hunter "","""")&amp;IF(REGEXMATCH($E108,""Animal""),""Animal "","""")&amp;IF(REGEXMATCH($E108,""Undead""),""Undead "","""")&amp;IF(REGEXMATCH($E108,""Plant""),""Plant "","""")&amp;IF(REGEXMATCH($E108,""Dinosaur""),""Dinosaur "","""")&amp;IF(R"&amp;"EGEXMATCH($E108,""Warrior""),""Warrior "","""")&amp;IF(REGEXMATCH($E108,""Spirit""),""Spirit "","""")&amp;IF(REGEXMATCH($E108,""Angel""),""Angel "","""")&amp;IF(REGEXMATCH($E108,""Demon""),""Demon "","""")&amp;IF(REGEXMATCH($E108,""Divine""),""Divine "","""")&amp;IF(REGEXMAT"&amp;"CH($E108,""Elemental""),""Elemental "","""")&amp;IF(REGEXMATCH($E108,""Nature""),""Nature "","""")&amp;IF(REGEXMATCH($E108,""Mortal""),""Mortal "","""")&amp;IF(REGEXMATCH($E108,""Void""),""Void "","""")&amp;IF(REGEXMATCH($E108,""Unearth|Ambush|Ritual|unearth|ambush|ritua"&amp;"l""),""Unearth "","""")&amp;IF(REGEXMATCH($E108,""Unleash|Crystallize|all realms|Crystalborn|crystallize""),""Ramp "","""")&amp;IF(REGEXMATCH($E108,""Demon""),""Demon "","""")&amp;IF(REGEXMATCH($E108,""bury|buries|Bury|Buries|Cleanse|puts a Unit|trail|Trail""),""Cont"&amp;"rol "","""")&amp;IF(REGEXMATCH($E108,""Bounce|Return|Copy|bounce|return|copy""),""Copy "","""")&amp;IF(REGEXMATCH($E108,""conquer|Conquer|leading in lanes|lead by""),""Aggro "","""")&amp;IF(REGEXMATCH($E108,""Ascend|ascend""),""Ascend "","""")&amp;IF(REGEXMATCH($E108,""B"&amp;"ury .+ Crystal|.*crystal.*bury""),""Empty-Crystal"","""")&amp;IF(REGEXMATCH($E108,""Move|move""),""Move"","""")"),"Dragon ")</f>
        <v>Dragon </v>
      </c>
      <c r="G108" s="12" t="s">
        <v>625</v>
      </c>
      <c r="H108" s="11">
        <v>4.0</v>
      </c>
      <c r="I108" s="11" t="s">
        <v>571</v>
      </c>
      <c r="J108" s="11" t="s">
        <v>33</v>
      </c>
      <c r="L108" s="13" t="str">
        <f>IFERROR(__xludf.DUMMYFUNCTION("IF(REGEXMATCH($B108,L$1),$D108,"""")"),"Dragon Hunter")</f>
        <v>Dragon Hunter</v>
      </c>
      <c r="M108" s="13" t="str">
        <f>IFERROR(__xludf.DUMMYFUNCTION("IF(REGEXMATCH($B108,M$1),$D108,"""")"),"")</f>
        <v/>
      </c>
      <c r="N108" s="13" t="str">
        <f>IFERROR(__xludf.DUMMYFUNCTION("IF(REGEXMATCH($B108,N$1),$D108,"""")"),"")</f>
        <v/>
      </c>
      <c r="O108" s="13" t="str">
        <f>IFERROR(__xludf.DUMMYFUNCTION("IF(REGEXMATCH($B108,O$1),$D108,"""")"),"")</f>
        <v/>
      </c>
      <c r="P108" s="13" t="str">
        <f>IFERROR(__xludf.DUMMYFUNCTION("IF(REGEXMATCH($B108,P$1),$D108,"""")"),"")</f>
        <v/>
      </c>
      <c r="Q108" s="13">
        <f>IFERROR(__xludf.DUMMYFUNCTION("IF($A108="""","""",LEN(REGEXREPLACE($I108,"",\s?"","""")))"),5.0)</f>
        <v>5</v>
      </c>
      <c r="S108" s="13"/>
      <c r="T108" s="13"/>
      <c r="U108" s="13"/>
      <c r="V108" s="13"/>
      <c r="W108" s="13"/>
      <c r="X108" s="13"/>
      <c r="Y108" s="13"/>
      <c r="Z108" s="13"/>
      <c r="AA108" s="13"/>
      <c r="AB108" s="13"/>
    </row>
    <row r="109">
      <c r="A109" s="19" t="s">
        <v>626</v>
      </c>
      <c r="B109" s="10" t="s">
        <v>11</v>
      </c>
      <c r="C109" s="11">
        <v>1.0</v>
      </c>
      <c r="D109" s="11" t="s">
        <v>450</v>
      </c>
      <c r="E109" s="10" t="s">
        <v>627</v>
      </c>
      <c r="F109" s="10" t="str">
        <f>IFERROR(__xludf.DUMMYFUNCTION("IF(REGEXMATCH($E109,""Wizard""),""Wizard "","""")&amp;IF(REGEXMATCH($E109,""Construct""),""Construct "","""")&amp;IF(REGEXMATCH($E109,""Insect""),""Insect "","""")&amp;IF(REGEXMATCH($E109,""Dragon""),""Dragon "","""")&amp;IF(REGEXMATCH($E109,""Human""),""Human "","""")&amp;I"&amp;"F(REGEXMATCH($E109,""Hunter""),""Hunter "","""")&amp;IF(REGEXMATCH($E109,""Animal""),""Animal "","""")&amp;IF(REGEXMATCH($E109,""Undead""),""Undead "","""")&amp;IF(REGEXMATCH($E109,""Plant""),""Plant "","""")&amp;IF(REGEXMATCH($E109,""Dinosaur""),""Dinosaur "","""")&amp;IF(R"&amp;"EGEXMATCH($E109,""Warrior""),""Warrior "","""")&amp;IF(REGEXMATCH($E109,""Spirit""),""Spirit "","""")&amp;IF(REGEXMATCH($E109,""Angel""),""Angel "","""")&amp;IF(REGEXMATCH($E109,""Demon""),""Demon "","""")&amp;IF(REGEXMATCH($E109,""Divine""),""Divine "","""")&amp;IF(REGEXMAT"&amp;"CH($E109,""Elemental""),""Elemental "","""")&amp;IF(REGEXMATCH($E109,""Nature""),""Nature "","""")&amp;IF(REGEXMATCH($E109,""Mortal""),""Mortal "","""")&amp;IF(REGEXMATCH($E109,""Void""),""Void "","""")&amp;IF(REGEXMATCH($E109,""Unearth|Ambush|Ritual|unearth|ambush|ritua"&amp;"l""),""Unearth "","""")&amp;IF(REGEXMATCH($E109,""Unleash|Crystallize|all realms|Crystalborn|crystallize""),""Ramp "","""")&amp;IF(REGEXMATCH($E109,""Demon""),""Demon "","""")&amp;IF(REGEXMATCH($E109,""bury|buries|Bury|Buries|Cleanse|puts a Unit|trail|Trail""),""Cont"&amp;"rol "","""")&amp;IF(REGEXMATCH($E109,""Bounce|Return|Copy|bounce|return|copy""),""Copy "","""")&amp;IF(REGEXMATCH($E109,""conquer|Conquer|leading in lanes|lead by""),""Aggro "","""")&amp;IF(REGEXMATCH($E109,""Ascend|ascend""),""Ascend "","""")&amp;IF(REGEXMATCH($E109,""B"&amp;"ury .+ Crystal|.*crystal.*bury""),""Empty-Crystal"","""")&amp;IF(REGEXMATCH($E109,""Move|move""),""Move"","""")"),"")</f>
        <v/>
      </c>
      <c r="G109" s="20" t="s">
        <v>628</v>
      </c>
      <c r="H109" s="11">
        <v>4.0</v>
      </c>
      <c r="I109" s="11" t="s">
        <v>535</v>
      </c>
      <c r="J109" s="11" t="s">
        <v>42</v>
      </c>
      <c r="L109" s="13" t="str">
        <f>IFERROR(__xludf.DUMMYFUNCTION("IF(REGEXMATCH($B109,L$1),$D109,"""")"),"Dragon Spirit")</f>
        <v>Dragon Spirit</v>
      </c>
      <c r="M109" s="13" t="str">
        <f>IFERROR(__xludf.DUMMYFUNCTION("IF(REGEXMATCH($B109,M$1),$D109,"""")"),"")</f>
        <v/>
      </c>
      <c r="N109" s="13" t="str">
        <f>IFERROR(__xludf.DUMMYFUNCTION("IF(REGEXMATCH($B109,N$1),$D109,"""")"),"")</f>
        <v/>
      </c>
      <c r="O109" s="13" t="str">
        <f>IFERROR(__xludf.DUMMYFUNCTION("IF(REGEXMATCH($B109,O$1),$D109,"""")"),"")</f>
        <v/>
      </c>
      <c r="P109" s="13" t="str">
        <f>IFERROR(__xludf.DUMMYFUNCTION("IF(REGEXMATCH($B109,P$1),$D109,"""")"),"")</f>
        <v/>
      </c>
      <c r="Q109" s="13">
        <f>IFERROR(__xludf.DUMMYFUNCTION("IF($A109="""","""",LEN(REGEXREPLACE($I109,"",\s?"","""")))"),4.0)</f>
        <v>4</v>
      </c>
      <c r="S109" s="13"/>
      <c r="T109" s="13"/>
      <c r="U109" s="13"/>
      <c r="V109" s="13"/>
      <c r="W109" s="13"/>
      <c r="X109" s="13"/>
      <c r="Y109" s="13"/>
      <c r="Z109" s="13"/>
      <c r="AA109" s="13"/>
      <c r="AB109" s="13"/>
    </row>
    <row r="110" hidden="1">
      <c r="A110" s="10" t="s">
        <v>629</v>
      </c>
      <c r="B110" s="43" t="s">
        <v>11</v>
      </c>
      <c r="C110" s="11">
        <v>2.0</v>
      </c>
      <c r="D110" s="11" t="s">
        <v>623</v>
      </c>
      <c r="E110" s="10" t="s">
        <v>630</v>
      </c>
      <c r="F110" s="10" t="str">
        <f>IFERROR(__xludf.DUMMYFUNCTION("IF(REGEXMATCH($E110,""Wizard""),""Wizard "","""")&amp;IF(REGEXMATCH($E110,""Construct""),""Construct "","""")&amp;IF(REGEXMATCH($E110,""Insect""),""Insect "","""")&amp;IF(REGEXMATCH($E110,""Dragon""),""Dragon "","""")&amp;IF(REGEXMATCH($E110,""Human""),""Human "","""")&amp;I"&amp;"F(REGEXMATCH($E110,""Hunter""),""Hunter "","""")&amp;IF(REGEXMATCH($E110,""Animal""),""Animal "","""")&amp;IF(REGEXMATCH($E110,""Undead""),""Undead "","""")&amp;IF(REGEXMATCH($E110,""Plant""),""Plant "","""")&amp;IF(REGEXMATCH($E110,""Dinosaur""),""Dinosaur "","""")&amp;IF(R"&amp;"EGEXMATCH($E110,""Warrior""),""Warrior "","""")&amp;IF(REGEXMATCH($E110,""Spirit""),""Spirit "","""")&amp;IF(REGEXMATCH($E110,""Angel""),""Angel "","""")&amp;IF(REGEXMATCH($E110,""Demon""),""Demon "","""")&amp;IF(REGEXMATCH($E110,""Divine""),""Divine "","""")&amp;IF(REGEXMAT"&amp;"CH($E110,""Elemental""),""Elemental "","""")&amp;IF(REGEXMATCH($E110,""Nature""),""Nature "","""")&amp;IF(REGEXMATCH($E110,""Mortal""),""Mortal "","""")&amp;IF(REGEXMATCH($E110,""Void""),""Void "","""")&amp;IF(REGEXMATCH($E110,""Unearth|Ambush|Ritual|unearth|ambush|ritua"&amp;"l""),""Unearth "","""")&amp;IF(REGEXMATCH($E110,""Unleash|Crystallize|all realms|Crystalborn|crystallize""),""Ramp "","""")&amp;IF(REGEXMATCH($E110,""Demon""),""Demon "","""")&amp;IF(REGEXMATCH($E110,""bury|buries|Bury|Buries|Cleanse|puts a Unit|trail|Trail""),""Cont"&amp;"rol "","""")&amp;IF(REGEXMATCH($E110,""Bounce|Return|Copy|bounce|return|copy""),""Copy "","""")&amp;IF(REGEXMATCH($E110,""conquer|Conquer|leading in lanes|lead by""),""Aggro "","""")&amp;IF(REGEXMATCH($E110,""Ascend|ascend""),""Ascend "","""")&amp;IF(REGEXMATCH($E110,""B"&amp;"ury .+ Crystal|.*crystal.*bury""),""Empty-Crystal"","""")&amp;IF(REGEXMATCH($E110,""Move|move""),""Move"","""")"),"Ramp Move")</f>
        <v>Ramp Move</v>
      </c>
      <c r="G110" s="12" t="s">
        <v>631</v>
      </c>
      <c r="H110" s="11">
        <v>4.0</v>
      </c>
      <c r="I110" s="11" t="s">
        <v>535</v>
      </c>
      <c r="J110" s="11" t="s">
        <v>50</v>
      </c>
      <c r="L110" s="13" t="str">
        <f>IFERROR(__xludf.DUMMYFUNCTION("IF(REGEXMATCH($B110,L$1),$D110,"""")"),"Dragon Hunter")</f>
        <v>Dragon Hunter</v>
      </c>
      <c r="M110" s="13" t="str">
        <f>IFERROR(__xludf.DUMMYFUNCTION("IF(REGEXMATCH($B110,M$1),$D110,"""")"),"")</f>
        <v/>
      </c>
      <c r="N110" s="13" t="str">
        <f>IFERROR(__xludf.DUMMYFUNCTION("IF(REGEXMATCH($B110,N$1),$D110,"""")"),"")</f>
        <v/>
      </c>
      <c r="O110" s="13" t="str">
        <f>IFERROR(__xludf.DUMMYFUNCTION("IF(REGEXMATCH($B110,O$1),$D110,"""")"),"")</f>
        <v/>
      </c>
      <c r="P110" s="13" t="str">
        <f>IFERROR(__xludf.DUMMYFUNCTION("IF(REGEXMATCH($B110,P$1),$D110,"""")"),"")</f>
        <v/>
      </c>
      <c r="Q110" s="13">
        <f>IFERROR(__xludf.DUMMYFUNCTION("IF($A110="""","""",LEN(REGEXREPLACE($I110,"",\s?"","""")))"),4.0)</f>
        <v>4</v>
      </c>
      <c r="S110" s="13"/>
      <c r="T110" s="13"/>
      <c r="U110" s="13"/>
      <c r="V110" s="13"/>
      <c r="W110" s="13"/>
      <c r="X110" s="13"/>
      <c r="Y110" s="13"/>
      <c r="Z110" s="13"/>
      <c r="AA110" s="13"/>
      <c r="AB110" s="13"/>
    </row>
    <row r="111" hidden="1">
      <c r="A111" s="19" t="s">
        <v>632</v>
      </c>
      <c r="B111" s="19" t="s">
        <v>11</v>
      </c>
      <c r="C111" s="18">
        <v>2.0</v>
      </c>
      <c r="D111" s="18" t="s">
        <v>302</v>
      </c>
      <c r="E111" s="19" t="s">
        <v>633</v>
      </c>
      <c r="F111" s="10" t="str">
        <f>IFERROR(__xludf.DUMMYFUNCTION("IF(REGEXMATCH($E111,""Wizard""),""Wizard "","""")&amp;IF(REGEXMATCH($E111,""Construct""),""Construct "","""")&amp;IF(REGEXMATCH($E111,""Insect""),""Insect "","""")&amp;IF(REGEXMATCH($E111,""Dragon""),""Dragon "","""")&amp;IF(REGEXMATCH($E111,""Human""),""Human "","""")&amp;I"&amp;"F(REGEXMATCH($E111,""Hunter""),""Hunter "","""")&amp;IF(REGEXMATCH($E111,""Animal""),""Animal "","""")&amp;IF(REGEXMATCH($E111,""Undead""),""Undead "","""")&amp;IF(REGEXMATCH($E111,""Plant""),""Plant "","""")&amp;IF(REGEXMATCH($E111,""Dinosaur""),""Dinosaur "","""")&amp;IF(R"&amp;"EGEXMATCH($E111,""Warrior""),""Warrior "","""")&amp;IF(REGEXMATCH($E111,""Spirit""),""Spirit "","""")&amp;IF(REGEXMATCH($E111,""Angel""),""Angel "","""")&amp;IF(REGEXMATCH($E111,""Demon""),""Demon "","""")&amp;IF(REGEXMATCH($E111,""Divine""),""Divine "","""")&amp;IF(REGEXMAT"&amp;"CH($E111,""Elemental""),""Elemental "","""")&amp;IF(REGEXMATCH($E111,""Nature""),""Nature "","""")&amp;IF(REGEXMATCH($E111,""Mortal""),""Mortal "","""")&amp;IF(REGEXMATCH($E111,""Void""),""Void "","""")&amp;IF(REGEXMATCH($E111,""Unearth|Ambush|Ritual|unearth|ambush|ritua"&amp;"l""),""Unearth "","""")&amp;IF(REGEXMATCH($E111,""Unleash|Crystallize|all realms|Crystalborn|crystallize""),""Ramp "","""")&amp;IF(REGEXMATCH($E111,""Demon""),""Demon "","""")&amp;IF(REGEXMATCH($E111,""bury|buries|Bury|Buries|Cleanse|puts a Unit|trail|Trail""),""Cont"&amp;"rol "","""")&amp;IF(REGEXMATCH($E111,""Bounce|Return|Copy|bounce|return|copy""),""Copy "","""")&amp;IF(REGEXMATCH($E111,""conquer|Conquer|leading in lanes|lead by""),""Aggro "","""")&amp;IF(REGEXMATCH($E111,""Ascend|ascend""),""Ascend "","""")&amp;IF(REGEXMATCH($E111,""B"&amp;"ury .+ Crystal|.*crystal.*bury""),""Empty-Crystal"","""")&amp;IF(REGEXMATCH($E111,""Move|move""),""Move"","""")"),"Elemental ")</f>
        <v>Elemental </v>
      </c>
      <c r="G111" s="20" t="s">
        <v>634</v>
      </c>
      <c r="H111" s="18">
        <v>3.0</v>
      </c>
      <c r="I111" s="18" t="s">
        <v>535</v>
      </c>
      <c r="J111" s="18" t="s">
        <v>50</v>
      </c>
      <c r="L111" s="13" t="str">
        <f>IFERROR(__xludf.DUMMYFUNCTION("IF(REGEXMATCH($B111,L$1),$D111,"""")"),"Dinosaur")</f>
        <v>Dinosaur</v>
      </c>
      <c r="M111" s="13" t="str">
        <f>IFERROR(__xludf.DUMMYFUNCTION("IF(REGEXMATCH($B111,M$1),$D111,"""")"),"")</f>
        <v/>
      </c>
      <c r="N111" s="13" t="str">
        <f>IFERROR(__xludf.DUMMYFUNCTION("IF(REGEXMATCH($B111,N$1),$D111,"""")"),"")</f>
        <v/>
      </c>
      <c r="O111" s="13" t="str">
        <f>IFERROR(__xludf.DUMMYFUNCTION("IF(REGEXMATCH($B111,O$1),$D111,"""")"),"")</f>
        <v/>
      </c>
      <c r="P111" s="13" t="str">
        <f>IFERROR(__xludf.DUMMYFUNCTION("IF(REGEXMATCH($B111,P$1),$D111,"""")"),"")</f>
        <v/>
      </c>
      <c r="Q111" s="13">
        <f>IFERROR(__xludf.DUMMYFUNCTION("IF($A111="""","""",LEN(REGEXREPLACE($I111,"",\s?"","""")))"),4.0)</f>
        <v>4</v>
      </c>
      <c r="S111" s="13"/>
      <c r="T111" s="13"/>
      <c r="U111" s="13"/>
      <c r="V111" s="13"/>
      <c r="W111" s="13"/>
      <c r="X111" s="13"/>
      <c r="Y111" s="13"/>
      <c r="Z111" s="13"/>
      <c r="AA111" s="13"/>
      <c r="AB111" s="13"/>
    </row>
    <row r="112" hidden="1">
      <c r="A112" s="19" t="s">
        <v>635</v>
      </c>
      <c r="B112" s="38" t="s">
        <v>11</v>
      </c>
      <c r="C112" s="18">
        <v>2.0</v>
      </c>
      <c r="D112" s="18" t="s">
        <v>636</v>
      </c>
      <c r="E112" s="19" t="s">
        <v>637</v>
      </c>
      <c r="F112" s="10" t="str">
        <f>IFERROR(__xludf.DUMMYFUNCTION("IF(REGEXMATCH($E112,""Wizard""),""Wizard "","""")&amp;IF(REGEXMATCH($E112,""Construct""),""Construct "","""")&amp;IF(REGEXMATCH($E112,""Insect""),""Insect "","""")&amp;IF(REGEXMATCH($E112,""Dragon""),""Dragon "","""")&amp;IF(REGEXMATCH($E112,""Human""),""Human "","""")&amp;I"&amp;"F(REGEXMATCH($E112,""Hunter""),""Hunter "","""")&amp;IF(REGEXMATCH($E112,""Animal""),""Animal "","""")&amp;IF(REGEXMATCH($E112,""Undead""),""Undead "","""")&amp;IF(REGEXMATCH($E112,""Plant""),""Plant "","""")&amp;IF(REGEXMATCH($E112,""Dinosaur""),""Dinosaur "","""")&amp;IF(R"&amp;"EGEXMATCH($E112,""Warrior""),""Warrior "","""")&amp;IF(REGEXMATCH($E112,""Spirit""),""Spirit "","""")&amp;IF(REGEXMATCH($E112,""Angel""),""Angel "","""")&amp;IF(REGEXMATCH($E112,""Demon""),""Demon "","""")&amp;IF(REGEXMATCH($E112,""Divine""),""Divine "","""")&amp;IF(REGEXMAT"&amp;"CH($E112,""Elemental""),""Elemental "","""")&amp;IF(REGEXMATCH($E112,""Nature""),""Nature "","""")&amp;IF(REGEXMATCH($E112,""Mortal""),""Mortal "","""")&amp;IF(REGEXMATCH($E112,""Void""),""Void "","""")&amp;IF(REGEXMATCH($E112,""Unearth|Ambush|Ritual|unearth|ambush|ritua"&amp;"l""),""Unearth "","""")&amp;IF(REGEXMATCH($E112,""Unleash|Crystallize|all realms|Crystalborn|crystallize""),""Ramp "","""")&amp;IF(REGEXMATCH($E112,""Demon""),""Demon "","""")&amp;IF(REGEXMATCH($E112,""bury|buries|Bury|Buries|Cleanse|puts a Unit|trail|Trail""),""Cont"&amp;"rol "","""")&amp;IF(REGEXMATCH($E112,""Bounce|Return|Copy|bounce|return|copy""),""Copy "","""")&amp;IF(REGEXMATCH($E112,""conquer|Conquer|leading in lanes|lead by""),""Aggro "","""")&amp;IF(REGEXMATCH($E112,""Ascend|ascend""),""Ascend "","""")&amp;IF(REGEXMATCH($E112,""B"&amp;"ury .+ Crystal|.*crystal.*bury""),""Empty-Crystal"","""")&amp;IF(REGEXMATCH($E112,""Move|move""),""Move"","""")"),"Ramp Control ")</f>
        <v>Ramp Control </v>
      </c>
      <c r="G112" s="56"/>
      <c r="H112" s="18">
        <v>3.0</v>
      </c>
      <c r="I112" s="18" t="s">
        <v>392</v>
      </c>
      <c r="J112" s="18" t="s">
        <v>33</v>
      </c>
      <c r="L112" s="13" t="str">
        <f>IFERROR(__xludf.DUMMYFUNCTION("IF(REGEXMATCH($B112,L$1),$D112,"""")"),"Demon Dragon")</f>
        <v>Demon Dragon</v>
      </c>
      <c r="M112" s="13" t="str">
        <f>IFERROR(__xludf.DUMMYFUNCTION("IF(REGEXMATCH($B112,M$1),$D112,"""")"),"")</f>
        <v/>
      </c>
      <c r="N112" s="13" t="str">
        <f>IFERROR(__xludf.DUMMYFUNCTION("IF(REGEXMATCH($B112,N$1),$D112,"""")"),"")</f>
        <v/>
      </c>
      <c r="O112" s="13" t="str">
        <f>IFERROR(__xludf.DUMMYFUNCTION("IF(REGEXMATCH($B112,O$1),$D112,"""")"),"")</f>
        <v/>
      </c>
      <c r="P112" s="13" t="str">
        <f>IFERROR(__xludf.DUMMYFUNCTION("IF(REGEXMATCH($B112,P$1),$D112,"""")"),"")</f>
        <v/>
      </c>
      <c r="Q112" s="13">
        <f>IFERROR(__xludf.DUMMYFUNCTION("IF($A112="""","""",LEN(REGEXREPLACE($I112,"",\s?"","""")))"),4.0)</f>
        <v>4</v>
      </c>
      <c r="S112" s="13"/>
      <c r="T112" s="13"/>
      <c r="U112" s="13"/>
      <c r="V112" s="13"/>
      <c r="W112" s="13"/>
      <c r="X112" s="13"/>
      <c r="Y112" s="13"/>
      <c r="Z112" s="13"/>
      <c r="AA112" s="13"/>
      <c r="AB112" s="13"/>
    </row>
    <row r="113">
      <c r="A113" s="19" t="s">
        <v>638</v>
      </c>
      <c r="B113" s="10" t="s">
        <v>11</v>
      </c>
      <c r="C113" s="11">
        <v>1.0</v>
      </c>
      <c r="D113" s="11" t="s">
        <v>44</v>
      </c>
      <c r="E113" s="10" t="s">
        <v>639</v>
      </c>
      <c r="F113" s="10" t="str">
        <f>IFERROR(__xludf.DUMMYFUNCTION("IF(REGEXMATCH($E113,""Wizard""),""Wizard "","""")&amp;IF(REGEXMATCH($E113,""Construct""),""Construct "","""")&amp;IF(REGEXMATCH($E113,""Insect""),""Insect "","""")&amp;IF(REGEXMATCH($E113,""Dragon""),""Dragon "","""")&amp;IF(REGEXMATCH($E113,""Human""),""Human "","""")&amp;I"&amp;"F(REGEXMATCH($E113,""Hunter""),""Hunter "","""")&amp;IF(REGEXMATCH($E113,""Animal""),""Animal "","""")&amp;IF(REGEXMATCH($E113,""Undead""),""Undead "","""")&amp;IF(REGEXMATCH($E113,""Plant""),""Plant "","""")&amp;IF(REGEXMATCH($E113,""Dinosaur""),""Dinosaur "","""")&amp;IF(R"&amp;"EGEXMATCH($E113,""Warrior""),""Warrior "","""")&amp;IF(REGEXMATCH($E113,""Spirit""),""Spirit "","""")&amp;IF(REGEXMATCH($E113,""Angel""),""Angel "","""")&amp;IF(REGEXMATCH($E113,""Demon""),""Demon "","""")&amp;IF(REGEXMATCH($E113,""Divine""),""Divine "","""")&amp;IF(REGEXMAT"&amp;"CH($E113,""Elemental""),""Elemental "","""")&amp;IF(REGEXMATCH($E113,""Nature""),""Nature "","""")&amp;IF(REGEXMATCH($E113,""Mortal""),""Mortal "","""")&amp;IF(REGEXMATCH($E113,""Void""),""Void "","""")&amp;IF(REGEXMATCH($E113,""Unearth|Ambush|Ritual|unearth|ambush|ritua"&amp;"l""),""Unearth "","""")&amp;IF(REGEXMATCH($E113,""Unleash|Crystallize|all realms|Crystalborn|crystallize""),""Ramp "","""")&amp;IF(REGEXMATCH($E113,""Demon""),""Demon "","""")&amp;IF(REGEXMATCH($E113,""bury|buries|Bury|Buries|Cleanse|puts a Unit|trail|Trail""),""Cont"&amp;"rol "","""")&amp;IF(REGEXMATCH($E113,""Bounce|Return|Copy|bounce|return|copy""),""Copy "","""")&amp;IF(REGEXMATCH($E113,""conquer|Conquer|leading in lanes|lead by""),""Aggro "","""")&amp;IF(REGEXMATCH($E113,""Ascend|ascend""),""Ascend "","""")&amp;IF(REGEXMATCH($E113,""B"&amp;"ury .+ Crystal|.*crystal.*bury""),""Empty-Crystal"","""")&amp;IF(REGEXMATCH($E113,""Move|move""),""Move"","""")"),"")</f>
        <v/>
      </c>
      <c r="G113" s="12" t="s">
        <v>640</v>
      </c>
      <c r="H113" s="11">
        <v>1.0</v>
      </c>
      <c r="I113" s="57" t="s">
        <v>356</v>
      </c>
      <c r="J113" s="11" t="s">
        <v>42</v>
      </c>
      <c r="L113" s="13" t="str">
        <f>IFERROR(__xludf.DUMMYFUNCTION("IF(REGEXMATCH($B113,L$1),$D113,"""")"),"Human")</f>
        <v>Human</v>
      </c>
      <c r="M113" s="13" t="str">
        <f>IFERROR(__xludf.DUMMYFUNCTION("IF(REGEXMATCH($B113,M$1),$D113,"""")"),"")</f>
        <v/>
      </c>
      <c r="N113" s="13" t="str">
        <f>IFERROR(__xludf.DUMMYFUNCTION("IF(REGEXMATCH($B113,N$1),$D113,"""")"),"")</f>
        <v/>
      </c>
      <c r="O113" s="13" t="str">
        <f>IFERROR(__xludf.DUMMYFUNCTION("IF(REGEXMATCH($B113,O$1),$D113,"""")"),"")</f>
        <v/>
      </c>
      <c r="P113" s="13" t="str">
        <f>IFERROR(__xludf.DUMMYFUNCTION("IF(REGEXMATCH($B113,P$1),$D113,"""")"),"")</f>
        <v/>
      </c>
      <c r="Q113" s="13">
        <f>IFERROR(__xludf.DUMMYFUNCTION("IF($A113="""","""",LEN(REGEXREPLACE($I113,"",\s?"","""")))"),1.0)</f>
        <v>1</v>
      </c>
      <c r="S113" s="13"/>
      <c r="T113" s="13"/>
      <c r="U113" s="13"/>
      <c r="V113" s="13"/>
      <c r="W113" s="13"/>
      <c r="X113" s="13"/>
      <c r="Y113" s="13"/>
      <c r="Z113" s="13"/>
      <c r="AA113" s="13"/>
      <c r="AB113" s="13"/>
    </row>
    <row r="114">
      <c r="A114" s="58" t="s">
        <v>641</v>
      </c>
      <c r="B114" s="59" t="s">
        <v>11</v>
      </c>
      <c r="C114" s="48">
        <v>1.0</v>
      </c>
      <c r="D114" s="60" t="s">
        <v>221</v>
      </c>
      <c r="E114" s="26" t="s">
        <v>642</v>
      </c>
      <c r="F114" s="10" t="str">
        <f>IFERROR(__xludf.DUMMYFUNCTION("IF(REGEXMATCH($E114,""Wizard""),""Wizard "","""")&amp;IF(REGEXMATCH($E114,""Construct""),""Construct "","""")&amp;IF(REGEXMATCH($E114,""Insect""),""Insect "","""")&amp;IF(REGEXMATCH($E114,""Dragon""),""Dragon "","""")&amp;IF(REGEXMATCH($E114,""Human""),""Human "","""")&amp;I"&amp;"F(REGEXMATCH($E114,""Hunter""),""Hunter "","""")&amp;IF(REGEXMATCH($E114,""Animal""),""Animal "","""")&amp;IF(REGEXMATCH($E114,""Undead""),""Undead "","""")&amp;IF(REGEXMATCH($E114,""Plant""),""Plant "","""")&amp;IF(REGEXMATCH($E114,""Dinosaur""),""Dinosaur "","""")&amp;IF(R"&amp;"EGEXMATCH($E114,""Warrior""),""Warrior "","""")&amp;IF(REGEXMATCH($E114,""Spirit""),""Spirit "","""")&amp;IF(REGEXMATCH($E114,""Angel""),""Angel "","""")&amp;IF(REGEXMATCH($E114,""Demon""),""Demon "","""")&amp;IF(REGEXMATCH($E114,""Divine""),""Divine "","""")&amp;IF(REGEXMAT"&amp;"CH($E114,""Elemental""),""Elemental "","""")&amp;IF(REGEXMATCH($E114,""Nature""),""Nature "","""")&amp;IF(REGEXMATCH($E114,""Mortal""),""Mortal "","""")&amp;IF(REGEXMATCH($E114,""Void""),""Void "","""")&amp;IF(REGEXMATCH($E114,""Unearth|Ambush|Ritual|unearth|ambush|ritua"&amp;"l""),""Unearth "","""")&amp;IF(REGEXMATCH($E114,""Unleash|Crystallize|all realms|Crystalborn|crystallize""),""Ramp "","""")&amp;IF(REGEXMATCH($E114,""Demon""),""Demon "","""")&amp;IF(REGEXMATCH($E114,""bury|buries|Bury|Buries|Cleanse|puts a Unit|trail|Trail""),""Cont"&amp;"rol "","""")&amp;IF(REGEXMATCH($E114,""Bounce|Return|Copy|bounce|return|copy""),""Copy "","""")&amp;IF(REGEXMATCH($E114,""conquer|Conquer|leading in lanes|lead by""),""Aggro "","""")&amp;IF(REGEXMATCH($E114,""Ascend|ascend""),""Ascend "","""")&amp;IF(REGEXMATCH($E114,""B"&amp;"ury .+ Crystal|.*crystal.*bury""),""Empty-Crystal"","""")&amp;IF(REGEXMATCH($E114,""Move|move""),""Move"","""")"),"Control Empty-Crystal")</f>
        <v>Control Empty-Crystal</v>
      </c>
      <c r="G114" s="61" t="s">
        <v>525</v>
      </c>
      <c r="H114" s="60">
        <v>4.0</v>
      </c>
      <c r="I114" s="60" t="s">
        <v>571</v>
      </c>
      <c r="J114" s="62" t="s">
        <v>50</v>
      </c>
      <c r="L114" s="13" t="str">
        <f>IFERROR(__xludf.DUMMYFUNCTION("IF(REGEXMATCH($B114,L$1),$D114,"""")"),"Human Hunter")</f>
        <v>Human Hunter</v>
      </c>
      <c r="M114" s="13" t="str">
        <f>IFERROR(__xludf.DUMMYFUNCTION("IF(REGEXMATCH($B114,M$1),$D114,"""")"),"")</f>
        <v/>
      </c>
      <c r="N114" s="13" t="str">
        <f>IFERROR(__xludf.DUMMYFUNCTION("IF(REGEXMATCH($B114,N$1),$D114,"""")"),"")</f>
        <v/>
      </c>
      <c r="O114" s="13" t="str">
        <f>IFERROR(__xludf.DUMMYFUNCTION("IF(REGEXMATCH($B114,O$1),$D114,"""")"),"")</f>
        <v/>
      </c>
      <c r="P114" s="13" t="str">
        <f>IFERROR(__xludf.DUMMYFUNCTION("IF(REGEXMATCH($B114,P$1),$D114,"""")"),"")</f>
        <v/>
      </c>
      <c r="Q114" s="13">
        <f>IFERROR(__xludf.DUMMYFUNCTION("IF($A114="""","""",LEN(REGEXREPLACE($I114,"",\s?"","""")))"),5.0)</f>
        <v>5</v>
      </c>
      <c r="S114" s="13"/>
      <c r="T114" s="13"/>
      <c r="U114" s="13"/>
      <c r="V114" s="13"/>
      <c r="W114" s="13"/>
      <c r="X114" s="13"/>
      <c r="Y114" s="13"/>
      <c r="Z114" s="13"/>
      <c r="AA114" s="13"/>
      <c r="AB114" s="13"/>
    </row>
    <row r="115">
      <c r="A115" s="10" t="s">
        <v>643</v>
      </c>
      <c r="B115" s="42" t="s">
        <v>11</v>
      </c>
      <c r="C115" s="11">
        <v>1.0</v>
      </c>
      <c r="D115" s="11" t="s">
        <v>363</v>
      </c>
      <c r="F115" s="10" t="str">
        <f>IFERROR(__xludf.DUMMYFUNCTION("IF(REGEXMATCH($E115,""Wizard""),""Wizard "","""")&amp;IF(REGEXMATCH($E115,""Construct""),""Construct "","""")&amp;IF(REGEXMATCH($E115,""Insect""),""Insect "","""")&amp;IF(REGEXMATCH($E115,""Dragon""),""Dragon "","""")&amp;IF(REGEXMATCH($E115,""Human""),""Human "","""")&amp;I"&amp;"F(REGEXMATCH($E115,""Hunter""),""Hunter "","""")&amp;IF(REGEXMATCH($E115,""Animal""),""Animal "","""")&amp;IF(REGEXMATCH($E115,""Undead""),""Undead "","""")&amp;IF(REGEXMATCH($E115,""Plant""),""Plant "","""")&amp;IF(REGEXMATCH($E115,""Dinosaur""),""Dinosaur "","""")&amp;IF(R"&amp;"EGEXMATCH($E115,""Warrior""),""Warrior "","""")&amp;IF(REGEXMATCH($E115,""Spirit""),""Spirit "","""")&amp;IF(REGEXMATCH($E115,""Angel""),""Angel "","""")&amp;IF(REGEXMATCH($E115,""Demon""),""Demon "","""")&amp;IF(REGEXMATCH($E115,""Divine""),""Divine "","""")&amp;IF(REGEXMAT"&amp;"CH($E115,""Elemental""),""Elemental "","""")&amp;IF(REGEXMATCH($E115,""Nature""),""Nature "","""")&amp;IF(REGEXMATCH($E115,""Mortal""),""Mortal "","""")&amp;IF(REGEXMATCH($E115,""Void""),""Void "","""")&amp;IF(REGEXMATCH($E115,""Unearth|Ambush|Ritual|unearth|ambush|ritua"&amp;"l""),""Unearth "","""")&amp;IF(REGEXMATCH($E115,""Unleash|Crystallize|all realms|Crystalborn|crystallize""),""Ramp "","""")&amp;IF(REGEXMATCH($E115,""Demon""),""Demon "","""")&amp;IF(REGEXMATCH($E115,""bury|buries|Bury|Buries|Cleanse|puts a Unit|trail|Trail""),""Cont"&amp;"rol "","""")&amp;IF(REGEXMATCH($E115,""Bounce|Return|Copy|bounce|return|copy""),""Copy "","""")&amp;IF(REGEXMATCH($E115,""conquer|Conquer|leading in lanes|lead by""),""Aggro "","""")&amp;IF(REGEXMATCH($E115,""Ascend|ascend""),""Ascend "","""")&amp;IF(REGEXMATCH($E115,""B"&amp;"ury .+ Crystal|.*crystal.*bury""),""Empty-Crystal"","""")&amp;IF(REGEXMATCH($E115,""Move|move""),""Move"","""")"),"")</f>
        <v/>
      </c>
      <c r="G115" s="55" t="s">
        <v>644</v>
      </c>
      <c r="H115" s="11">
        <v>3.0</v>
      </c>
      <c r="I115" s="11" t="s">
        <v>403</v>
      </c>
      <c r="J115" s="11" t="s">
        <v>42</v>
      </c>
      <c r="L115" s="13" t="str">
        <f>IFERROR(__xludf.DUMMYFUNCTION("IF(REGEXMATCH($B115,L$1),$D115,"""")"),"Human Warrior")</f>
        <v>Human Warrior</v>
      </c>
      <c r="M115" s="13" t="str">
        <f>IFERROR(__xludf.DUMMYFUNCTION("IF(REGEXMATCH($B115,M$1),$D115,"""")"),"")</f>
        <v/>
      </c>
      <c r="N115" s="13" t="str">
        <f>IFERROR(__xludf.DUMMYFUNCTION("IF(REGEXMATCH($B115,N$1),$D115,"""")"),"")</f>
        <v/>
      </c>
      <c r="O115" s="13" t="str">
        <f>IFERROR(__xludf.DUMMYFUNCTION("IF(REGEXMATCH($B115,O$1),$D115,"""")"),"")</f>
        <v/>
      </c>
      <c r="P115" s="13" t="str">
        <f>IFERROR(__xludf.DUMMYFUNCTION("IF(REGEXMATCH($B115,P$1),$D115,"""")"),"")</f>
        <v/>
      </c>
      <c r="Q115" s="13">
        <f>IFERROR(__xludf.DUMMYFUNCTION("IF($A115="""","""",LEN(REGEXREPLACE($I115,"",\s?"","""")))"),2.0)</f>
        <v>2</v>
      </c>
      <c r="S115" s="13"/>
      <c r="T115" s="13"/>
      <c r="U115" s="13"/>
      <c r="V115" s="13"/>
      <c r="W115" s="13"/>
      <c r="X115" s="13"/>
      <c r="Y115" s="13"/>
      <c r="Z115" s="13"/>
      <c r="AA115" s="13"/>
      <c r="AB115" s="13"/>
    </row>
    <row r="116" hidden="1">
      <c r="A116" s="19" t="s">
        <v>645</v>
      </c>
      <c r="B116" s="63" t="s">
        <v>11</v>
      </c>
      <c r="C116" s="18">
        <v>2.0</v>
      </c>
      <c r="D116" s="18" t="s">
        <v>154</v>
      </c>
      <c r="E116" s="19" t="s">
        <v>646</v>
      </c>
      <c r="F116" s="10" t="str">
        <f>IFERROR(__xludf.DUMMYFUNCTION("IF(REGEXMATCH($E116,""Wizard""),""Wizard "","""")&amp;IF(REGEXMATCH($E116,""Construct""),""Construct "","""")&amp;IF(REGEXMATCH($E116,""Insect""),""Insect "","""")&amp;IF(REGEXMATCH($E116,""Dragon""),""Dragon "","""")&amp;IF(REGEXMATCH($E116,""Human""),""Human "","""")&amp;I"&amp;"F(REGEXMATCH($E116,""Hunter""),""Hunter "","""")&amp;IF(REGEXMATCH($E116,""Animal""),""Animal "","""")&amp;IF(REGEXMATCH($E116,""Undead""),""Undead "","""")&amp;IF(REGEXMATCH($E116,""Plant""),""Plant "","""")&amp;IF(REGEXMATCH($E116,""Dinosaur""),""Dinosaur "","""")&amp;IF(R"&amp;"EGEXMATCH($E116,""Warrior""),""Warrior "","""")&amp;IF(REGEXMATCH($E116,""Spirit""),""Spirit "","""")&amp;IF(REGEXMATCH($E116,""Angel""),""Angel "","""")&amp;IF(REGEXMATCH($E116,""Demon""),""Demon "","""")&amp;IF(REGEXMATCH($E116,""Divine""),""Divine "","""")&amp;IF(REGEXMAT"&amp;"CH($E116,""Elemental""),""Elemental "","""")&amp;IF(REGEXMATCH($E116,""Nature""),""Nature "","""")&amp;IF(REGEXMATCH($E116,""Mortal""),""Mortal "","""")&amp;IF(REGEXMATCH($E116,""Void""),""Void "","""")&amp;IF(REGEXMATCH($E116,""Unearth|Ambush|Ritual|unearth|ambush|ritua"&amp;"l""),""Unearth "","""")&amp;IF(REGEXMATCH($E116,""Unleash|Crystallize|all realms|Crystalborn|crystallize""),""Ramp "","""")&amp;IF(REGEXMATCH($E116,""Demon""),""Demon "","""")&amp;IF(REGEXMATCH($E116,""bury|buries|Bury|Buries|Cleanse|puts a Unit|trail|Trail""),""Cont"&amp;"rol "","""")&amp;IF(REGEXMATCH($E116,""Bounce|Return|Copy|bounce|return|copy""),""Copy "","""")&amp;IF(REGEXMATCH($E116,""conquer|Conquer|leading in lanes|lead by""),""Aggro "","""")&amp;IF(REGEXMATCH($E116,""Ascend|ascend""),""Ascend "","""")&amp;IF(REGEXMATCH($E116,""B"&amp;"ury .+ Crystal|.*crystal.*bury""),""Empty-Crystal"","""")&amp;IF(REGEXMATCH($E116,""Move|move""),""Move"","""")"),"Control ")</f>
        <v>Control </v>
      </c>
      <c r="G116" s="20" t="s">
        <v>647</v>
      </c>
      <c r="H116" s="18">
        <v>3.0</v>
      </c>
      <c r="I116" s="11" t="s">
        <v>336</v>
      </c>
      <c r="J116" s="11" t="s">
        <v>42</v>
      </c>
      <c r="L116" s="13" t="str">
        <f>IFERROR(__xludf.DUMMYFUNCTION("IF(REGEXMATCH($B116,L$1),$D116,"""")"),"Animal Spirit")</f>
        <v>Animal Spirit</v>
      </c>
      <c r="M116" s="13" t="str">
        <f>IFERROR(__xludf.DUMMYFUNCTION("IF(REGEXMATCH($B116,M$1),$D116,"""")"),"")</f>
        <v/>
      </c>
      <c r="N116" s="13" t="str">
        <f>IFERROR(__xludf.DUMMYFUNCTION("IF(REGEXMATCH($B116,N$1),$D116,"""")"),"")</f>
        <v/>
      </c>
      <c r="O116" s="13" t="str">
        <f>IFERROR(__xludf.DUMMYFUNCTION("IF(REGEXMATCH($B116,O$1),$D116,"""")"),"")</f>
        <v/>
      </c>
      <c r="P116" s="13" t="str">
        <f>IFERROR(__xludf.DUMMYFUNCTION("IF(REGEXMATCH($B116,P$1),$D116,"""")"),"")</f>
        <v/>
      </c>
      <c r="Q116" s="13">
        <f>IFERROR(__xludf.DUMMYFUNCTION("IF($A116="""","""",LEN(REGEXREPLACE($I116,"",\s?"","""")))"),3.0)</f>
        <v>3</v>
      </c>
      <c r="S116" s="13"/>
      <c r="T116" s="13"/>
      <c r="U116" s="13"/>
      <c r="V116" s="13"/>
      <c r="W116" s="13"/>
      <c r="X116" s="13"/>
      <c r="Y116" s="13"/>
      <c r="Z116" s="13"/>
      <c r="AA116" s="13"/>
      <c r="AB116" s="13"/>
    </row>
    <row r="117">
      <c r="A117" s="19" t="s">
        <v>648</v>
      </c>
      <c r="B117" s="42" t="s">
        <v>11</v>
      </c>
      <c r="C117" s="11">
        <v>1.0</v>
      </c>
      <c r="D117" s="11" t="s">
        <v>345</v>
      </c>
      <c r="E117" s="10" t="s">
        <v>649</v>
      </c>
      <c r="F117" s="10" t="str">
        <f>IFERROR(__xludf.DUMMYFUNCTION("IF(REGEXMATCH($E117,""Wizard""),""Wizard "","""")&amp;IF(REGEXMATCH($E117,""Construct""),""Construct "","""")&amp;IF(REGEXMATCH($E117,""Insect""),""Insect "","""")&amp;IF(REGEXMATCH($E117,""Dragon""),""Dragon "","""")&amp;IF(REGEXMATCH($E117,""Human""),""Human "","""")&amp;I"&amp;"F(REGEXMATCH($E117,""Hunter""),""Hunter "","""")&amp;IF(REGEXMATCH($E117,""Animal""),""Animal "","""")&amp;IF(REGEXMATCH($E117,""Undead""),""Undead "","""")&amp;IF(REGEXMATCH($E117,""Plant""),""Plant "","""")&amp;IF(REGEXMATCH($E117,""Dinosaur""),""Dinosaur "","""")&amp;IF(R"&amp;"EGEXMATCH($E117,""Warrior""),""Warrior "","""")&amp;IF(REGEXMATCH($E117,""Spirit""),""Spirit "","""")&amp;IF(REGEXMATCH($E117,""Angel""),""Angel "","""")&amp;IF(REGEXMATCH($E117,""Demon""),""Demon "","""")&amp;IF(REGEXMATCH($E117,""Divine""),""Divine "","""")&amp;IF(REGEXMAT"&amp;"CH($E117,""Elemental""),""Elemental "","""")&amp;IF(REGEXMATCH($E117,""Nature""),""Nature "","""")&amp;IF(REGEXMATCH($E117,""Mortal""),""Mortal "","""")&amp;IF(REGEXMATCH($E117,""Void""),""Void "","""")&amp;IF(REGEXMATCH($E117,""Unearth|Ambush|Ritual|unearth|ambush|ritua"&amp;"l""),""Unearth "","""")&amp;IF(REGEXMATCH($E117,""Unleash|Crystallize|all realms|Crystalborn|crystallize""),""Ramp "","""")&amp;IF(REGEXMATCH($E117,""Demon""),""Demon "","""")&amp;IF(REGEXMATCH($E117,""bury|buries|Bury|Buries|Cleanse|puts a Unit|trail|Trail""),""Cont"&amp;"rol "","""")&amp;IF(REGEXMATCH($E117,""Bounce|Return|Copy|bounce|return|copy""),""Copy "","""")&amp;IF(REGEXMATCH($E117,""conquer|Conquer|leading in lanes|lead by""),""Aggro "","""")&amp;IF(REGEXMATCH($E117,""Ascend|ascend""),""Ascend "","""")&amp;IF(REGEXMATCH($E117,""B"&amp;"ury .+ Crystal|.*crystal.*bury""),""Empty-Crystal"","""")&amp;IF(REGEXMATCH($E117,""Move|move""),""Move"","""")"),"Dragon Ramp Control ")</f>
        <v>Dragon Ramp Control </v>
      </c>
      <c r="G117" s="12" t="s">
        <v>650</v>
      </c>
      <c r="H117" s="11">
        <v>2.0</v>
      </c>
      <c r="I117" s="11" t="s">
        <v>336</v>
      </c>
      <c r="J117" s="11" t="s">
        <v>50</v>
      </c>
      <c r="L117" s="13" t="str">
        <f>IFERROR(__xludf.DUMMYFUNCTION("IF(REGEXMATCH($B117,L$1),$D117,"""")"),"Human Wizard")</f>
        <v>Human Wizard</v>
      </c>
      <c r="M117" s="13" t="str">
        <f>IFERROR(__xludf.DUMMYFUNCTION("IF(REGEXMATCH($B117,M$1),$D117,"""")"),"")</f>
        <v/>
      </c>
      <c r="N117" s="13" t="str">
        <f>IFERROR(__xludf.DUMMYFUNCTION("IF(REGEXMATCH($B117,N$1),$D117,"""")"),"")</f>
        <v/>
      </c>
      <c r="O117" s="13" t="str">
        <f>IFERROR(__xludf.DUMMYFUNCTION("IF(REGEXMATCH($B117,O$1),$D117,"""")"),"")</f>
        <v/>
      </c>
      <c r="P117" s="13" t="str">
        <f>IFERROR(__xludf.DUMMYFUNCTION("IF(REGEXMATCH($B117,P$1),$D117,"""")"),"")</f>
        <v/>
      </c>
      <c r="Q117" s="13">
        <f>IFERROR(__xludf.DUMMYFUNCTION("IF($A117="""","""",LEN(REGEXREPLACE($I117,"",\s?"","""")))"),3.0)</f>
        <v>3</v>
      </c>
      <c r="S117" s="13"/>
      <c r="T117" s="13"/>
      <c r="U117" s="13"/>
      <c r="V117" s="13"/>
      <c r="W117" s="13"/>
      <c r="X117" s="13"/>
      <c r="Y117" s="13"/>
      <c r="Z117" s="13"/>
      <c r="AA117" s="13"/>
      <c r="AB117" s="13"/>
    </row>
    <row r="118" hidden="1">
      <c r="A118" s="19" t="s">
        <v>651</v>
      </c>
      <c r="B118" s="37" t="s">
        <v>11</v>
      </c>
      <c r="C118" s="18">
        <v>2.0</v>
      </c>
      <c r="D118" s="18" t="s">
        <v>450</v>
      </c>
      <c r="E118" s="19" t="s">
        <v>652</v>
      </c>
      <c r="F118" s="10" t="str">
        <f>IFERROR(__xludf.DUMMYFUNCTION("IF(REGEXMATCH($E118,""Wizard""),""Wizard "","""")&amp;IF(REGEXMATCH($E118,""Construct""),""Construct "","""")&amp;IF(REGEXMATCH($E118,""Insect""),""Insect "","""")&amp;IF(REGEXMATCH($E118,""Dragon""),""Dragon "","""")&amp;IF(REGEXMATCH($E118,""Human""),""Human "","""")&amp;I"&amp;"F(REGEXMATCH($E118,""Hunter""),""Hunter "","""")&amp;IF(REGEXMATCH($E118,""Animal""),""Animal "","""")&amp;IF(REGEXMATCH($E118,""Undead""),""Undead "","""")&amp;IF(REGEXMATCH($E118,""Plant""),""Plant "","""")&amp;IF(REGEXMATCH($E118,""Dinosaur""),""Dinosaur "","""")&amp;IF(R"&amp;"EGEXMATCH($E118,""Warrior""),""Warrior "","""")&amp;IF(REGEXMATCH($E118,""Spirit""),""Spirit "","""")&amp;IF(REGEXMATCH($E118,""Angel""),""Angel "","""")&amp;IF(REGEXMATCH($E118,""Demon""),""Demon "","""")&amp;IF(REGEXMATCH($E118,""Divine""),""Divine "","""")&amp;IF(REGEXMAT"&amp;"CH($E118,""Elemental""),""Elemental "","""")&amp;IF(REGEXMATCH($E118,""Nature""),""Nature "","""")&amp;IF(REGEXMATCH($E118,""Mortal""),""Mortal "","""")&amp;IF(REGEXMATCH($E118,""Void""),""Void "","""")&amp;IF(REGEXMATCH($E118,""Unearth|Ambush|Ritual|unearth|ambush|ritua"&amp;"l""),""Unearth "","""")&amp;IF(REGEXMATCH($E118,""Unleash|Crystallize|all realms|Crystalborn|crystallize""),""Ramp "","""")&amp;IF(REGEXMATCH($E118,""Demon""),""Demon "","""")&amp;IF(REGEXMATCH($E118,""bury|buries|Bury|Buries|Cleanse|puts a Unit|trail|Trail""),""Cont"&amp;"rol "","""")&amp;IF(REGEXMATCH($E118,""Bounce|Return|Copy|bounce|return|copy""),""Copy "","""")&amp;IF(REGEXMATCH($E118,""conquer|Conquer|leading in lanes|lead by""),""Aggro "","""")&amp;IF(REGEXMATCH($E118,""Ascend|ascend""),""Ascend "","""")&amp;IF(REGEXMATCH($E118,""B"&amp;"ury .+ Crystal|.*crystal.*bury""),""Empty-Crystal"","""")&amp;IF(REGEXMATCH($E118,""Move|move""),""Move"","""")"),"Unearth Ramp Copy ")</f>
        <v>Unearth Ramp Copy </v>
      </c>
      <c r="G118" s="20" t="s">
        <v>304</v>
      </c>
      <c r="H118" s="18">
        <v>4.0</v>
      </c>
      <c r="I118" s="18" t="s">
        <v>348</v>
      </c>
      <c r="J118" s="18" t="s">
        <v>50</v>
      </c>
      <c r="L118" s="13" t="str">
        <f>IFERROR(__xludf.DUMMYFUNCTION("IF(REGEXMATCH($B118,L$1),$D118,"""")"),"Dragon Spirit")</f>
        <v>Dragon Spirit</v>
      </c>
      <c r="M118" s="13" t="str">
        <f>IFERROR(__xludf.DUMMYFUNCTION("IF(REGEXMATCH($B118,M$1),$D118,"""")"),"")</f>
        <v/>
      </c>
      <c r="N118" s="13" t="str">
        <f>IFERROR(__xludf.DUMMYFUNCTION("IF(REGEXMATCH($B118,N$1),$D118,"""")"),"")</f>
        <v/>
      </c>
      <c r="O118" s="13" t="str">
        <f>IFERROR(__xludf.DUMMYFUNCTION("IF(REGEXMATCH($B118,O$1),$D118,"""")"),"")</f>
        <v/>
      </c>
      <c r="P118" s="13" t="str">
        <f>IFERROR(__xludf.DUMMYFUNCTION("IF(REGEXMATCH($B118,P$1),$D118,"""")"),"")</f>
        <v/>
      </c>
      <c r="Q118" s="13">
        <f>IFERROR(__xludf.DUMMYFUNCTION("IF($A118="""","""",LEN(REGEXREPLACE($I118,"",\s?"","""")))"),5.0)</f>
        <v>5</v>
      </c>
      <c r="S118" s="13"/>
      <c r="T118" s="13"/>
      <c r="U118" s="13"/>
      <c r="V118" s="13"/>
      <c r="W118" s="13"/>
      <c r="X118" s="13"/>
      <c r="Y118" s="13"/>
      <c r="Z118" s="13"/>
      <c r="AA118" s="13"/>
      <c r="AB118" s="13"/>
    </row>
    <row r="119">
      <c r="A119" s="29" t="s">
        <v>653</v>
      </c>
      <c r="B119" s="42" t="s">
        <v>11</v>
      </c>
      <c r="C119" s="11">
        <v>1.0</v>
      </c>
      <c r="D119" s="11" t="s">
        <v>345</v>
      </c>
      <c r="E119" s="10" t="s">
        <v>654</v>
      </c>
      <c r="F119" s="10" t="str">
        <f>IFERROR(__xludf.DUMMYFUNCTION("IF(REGEXMATCH($E119,""Wizard""),""Wizard "","""")&amp;IF(REGEXMATCH($E119,""Construct""),""Construct "","""")&amp;IF(REGEXMATCH($E119,""Insect""),""Insect "","""")&amp;IF(REGEXMATCH($E119,""Dragon""),""Dragon "","""")&amp;IF(REGEXMATCH($E119,""Human""),""Human "","""")&amp;I"&amp;"F(REGEXMATCH($E119,""Hunter""),""Hunter "","""")&amp;IF(REGEXMATCH($E119,""Animal""),""Animal "","""")&amp;IF(REGEXMATCH($E119,""Undead""),""Undead "","""")&amp;IF(REGEXMATCH($E119,""Plant""),""Plant "","""")&amp;IF(REGEXMATCH($E119,""Dinosaur""),""Dinosaur "","""")&amp;IF(R"&amp;"EGEXMATCH($E119,""Warrior""),""Warrior "","""")&amp;IF(REGEXMATCH($E119,""Spirit""),""Spirit "","""")&amp;IF(REGEXMATCH($E119,""Angel""),""Angel "","""")&amp;IF(REGEXMATCH($E119,""Demon""),""Demon "","""")&amp;IF(REGEXMATCH($E119,""Divine""),""Divine "","""")&amp;IF(REGEXMAT"&amp;"CH($E119,""Elemental""),""Elemental "","""")&amp;IF(REGEXMATCH($E119,""Nature""),""Nature "","""")&amp;IF(REGEXMATCH($E119,""Mortal""),""Mortal "","""")&amp;IF(REGEXMATCH($E119,""Void""),""Void "","""")&amp;IF(REGEXMATCH($E119,""Unearth|Ambush|Ritual|unearth|ambush|ritua"&amp;"l""),""Unearth "","""")&amp;IF(REGEXMATCH($E119,""Unleash|Crystallize|all realms|Crystalborn|crystallize""),""Ramp "","""")&amp;IF(REGEXMATCH($E119,""Demon""),""Demon "","""")&amp;IF(REGEXMATCH($E119,""bury|buries|Bury|Buries|Cleanse|puts a Unit|trail|Trail""),""Cont"&amp;"rol "","""")&amp;IF(REGEXMATCH($E119,""Bounce|Return|Copy|bounce|return|copy""),""Copy "","""")&amp;IF(REGEXMATCH($E119,""conquer|Conquer|leading in lanes|lead by""),""Aggro "","""")&amp;IF(REGEXMATCH($E119,""Ascend|ascend""),""Ascend "","""")&amp;IF(REGEXMATCH($E119,""B"&amp;"ury .+ Crystal|.*crystal.*bury""),""Empty-Crystal"","""")&amp;IF(REGEXMATCH($E119,""Move|move""),""Move"","""")"),"")</f>
        <v/>
      </c>
      <c r="G119" s="12" t="s">
        <v>655</v>
      </c>
      <c r="H119" s="11">
        <v>2.0</v>
      </c>
      <c r="I119" s="11" t="s">
        <v>535</v>
      </c>
      <c r="J119" s="21" t="s">
        <v>42</v>
      </c>
      <c r="L119" s="13" t="str">
        <f>IFERROR(__xludf.DUMMYFUNCTION("IF(REGEXMATCH($B119,L$1),$D119,"""")"),"Human Wizard")</f>
        <v>Human Wizard</v>
      </c>
      <c r="M119" s="13" t="str">
        <f>IFERROR(__xludf.DUMMYFUNCTION("IF(REGEXMATCH($B119,M$1),$D119,"""")"),"")</f>
        <v/>
      </c>
      <c r="N119" s="13" t="str">
        <f>IFERROR(__xludf.DUMMYFUNCTION("IF(REGEXMATCH($B119,N$1),$D119,"""")"),"")</f>
        <v/>
      </c>
      <c r="O119" s="13" t="str">
        <f>IFERROR(__xludf.DUMMYFUNCTION("IF(REGEXMATCH($B119,O$1),$D119,"""")"),"")</f>
        <v/>
      </c>
      <c r="P119" s="13" t="str">
        <f>IFERROR(__xludf.DUMMYFUNCTION("IF(REGEXMATCH($B119,P$1),$D119,"""")"),"")</f>
        <v/>
      </c>
      <c r="Q119" s="13">
        <f>IFERROR(__xludf.DUMMYFUNCTION("IF($A119="""","""",LEN(REGEXREPLACE($I119,"",\s?"","""")))"),4.0)</f>
        <v>4</v>
      </c>
      <c r="S119" s="13"/>
      <c r="T119" s="13"/>
      <c r="U119" s="13"/>
      <c r="V119" s="13"/>
      <c r="W119" s="13"/>
      <c r="X119" s="13"/>
      <c r="Y119" s="13"/>
      <c r="Z119" s="13"/>
      <c r="AA119" s="13"/>
      <c r="AB119" s="13"/>
    </row>
    <row r="120">
      <c r="A120" s="46" t="s">
        <v>656</v>
      </c>
      <c r="B120" s="64" t="s">
        <v>11</v>
      </c>
      <c r="C120" s="18">
        <v>1.0</v>
      </c>
      <c r="D120" s="18" t="s">
        <v>519</v>
      </c>
      <c r="E120" s="19" t="s">
        <v>657</v>
      </c>
      <c r="F120" s="10" t="str">
        <f>IFERROR(__xludf.DUMMYFUNCTION("IF(REGEXMATCH($E120,""Wizard""),""Wizard "","""")&amp;IF(REGEXMATCH($E120,""Construct""),""Construct "","""")&amp;IF(REGEXMATCH($E120,""Insect""),""Insect "","""")&amp;IF(REGEXMATCH($E120,""Dragon""),""Dragon "","""")&amp;IF(REGEXMATCH($E120,""Human""),""Human "","""")&amp;I"&amp;"F(REGEXMATCH($E120,""Hunter""),""Hunter "","""")&amp;IF(REGEXMATCH($E120,""Animal""),""Animal "","""")&amp;IF(REGEXMATCH($E120,""Undead""),""Undead "","""")&amp;IF(REGEXMATCH($E120,""Plant""),""Plant "","""")&amp;IF(REGEXMATCH($E120,""Dinosaur""),""Dinosaur "","""")&amp;IF(R"&amp;"EGEXMATCH($E120,""Warrior""),""Warrior "","""")&amp;IF(REGEXMATCH($E120,""Spirit""),""Spirit "","""")&amp;IF(REGEXMATCH($E120,""Angel""),""Angel "","""")&amp;IF(REGEXMATCH($E120,""Demon""),""Demon "","""")&amp;IF(REGEXMATCH($E120,""Divine""),""Divine "","""")&amp;IF(REGEXMAT"&amp;"CH($E120,""Elemental""),""Elemental "","""")&amp;IF(REGEXMATCH($E120,""Nature""),""Nature "","""")&amp;IF(REGEXMATCH($E120,""Mortal""),""Mortal "","""")&amp;IF(REGEXMATCH($E120,""Void""),""Void "","""")&amp;IF(REGEXMATCH($E120,""Unearth|Ambush|Ritual|unearth|ambush|ritua"&amp;"l""),""Unearth "","""")&amp;IF(REGEXMATCH($E120,""Unleash|Crystallize|all realms|Crystalborn|crystallize""),""Ramp "","""")&amp;IF(REGEXMATCH($E120,""Demon""),""Demon "","""")&amp;IF(REGEXMATCH($E120,""bury|buries|Bury|Buries|Cleanse|puts a Unit|trail|Trail""),""Cont"&amp;"rol "","""")&amp;IF(REGEXMATCH($E120,""Bounce|Return|Copy|bounce|return|copy""),""Copy "","""")&amp;IF(REGEXMATCH($E120,""conquer|Conquer|leading in lanes|lead by""),""Aggro "","""")&amp;IF(REGEXMATCH($E120,""Ascend|ascend""),""Ascend "","""")&amp;IF(REGEXMATCH($E120,""B"&amp;"ury .+ Crystal|.*crystal.*bury""),""Empty-Crystal"","""")&amp;IF(REGEXMATCH($E120,""Move|move""),""Move"","""")"),"Unearth ")</f>
        <v>Unearth </v>
      </c>
      <c r="G120" s="65"/>
      <c r="H120" s="18">
        <v>2.0</v>
      </c>
      <c r="I120" s="18" t="s">
        <v>370</v>
      </c>
      <c r="J120" s="18" t="s">
        <v>33</v>
      </c>
      <c r="L120" s="13" t="str">
        <f>IFERROR(__xludf.DUMMYFUNCTION("IF(REGEXMATCH($B120,L$1),$D120,"""")"),"Insect")</f>
        <v>Insect</v>
      </c>
      <c r="M120" s="13" t="str">
        <f>IFERROR(__xludf.DUMMYFUNCTION("IF(REGEXMATCH($B120,M$1),$D120,"""")"),"")</f>
        <v/>
      </c>
      <c r="N120" s="13" t="str">
        <f>IFERROR(__xludf.DUMMYFUNCTION("IF(REGEXMATCH($B120,N$1),$D120,"""")"),"")</f>
        <v/>
      </c>
      <c r="O120" s="13" t="str">
        <f>IFERROR(__xludf.DUMMYFUNCTION("IF(REGEXMATCH($B120,O$1),$D120,"""")"),"")</f>
        <v/>
      </c>
      <c r="P120" s="13" t="str">
        <f>IFERROR(__xludf.DUMMYFUNCTION("IF(REGEXMATCH($B120,P$1),$D120,"""")"),"")</f>
        <v/>
      </c>
      <c r="Q120" s="13">
        <f>IFERROR(__xludf.DUMMYFUNCTION("IF($A120="""","""",LEN(REGEXREPLACE($I120,"",\s?"","""")))"),3.0)</f>
        <v>3</v>
      </c>
      <c r="S120" s="13"/>
      <c r="T120" s="13"/>
      <c r="U120" s="13"/>
      <c r="V120" s="13"/>
      <c r="W120" s="13"/>
      <c r="X120" s="13"/>
      <c r="Y120" s="13"/>
      <c r="Z120" s="13"/>
      <c r="AA120" s="13"/>
      <c r="AB120" s="13"/>
    </row>
    <row r="121" hidden="1">
      <c r="A121" s="19" t="s">
        <v>658</v>
      </c>
      <c r="B121" s="37" t="s">
        <v>11</v>
      </c>
      <c r="C121" s="18">
        <v>2.0</v>
      </c>
      <c r="D121" s="18" t="s">
        <v>317</v>
      </c>
      <c r="E121" s="19" t="s">
        <v>659</v>
      </c>
      <c r="F121" s="10" t="str">
        <f>IFERROR(__xludf.DUMMYFUNCTION("IF(REGEXMATCH($E121,""Wizard""),""Wizard "","""")&amp;IF(REGEXMATCH($E121,""Construct""),""Construct "","""")&amp;IF(REGEXMATCH($E121,""Insect""),""Insect "","""")&amp;IF(REGEXMATCH($E121,""Dragon""),""Dragon "","""")&amp;IF(REGEXMATCH($E121,""Human""),""Human "","""")&amp;I"&amp;"F(REGEXMATCH($E121,""Hunter""),""Hunter "","""")&amp;IF(REGEXMATCH($E121,""Animal""),""Animal "","""")&amp;IF(REGEXMATCH($E121,""Undead""),""Undead "","""")&amp;IF(REGEXMATCH($E121,""Plant""),""Plant "","""")&amp;IF(REGEXMATCH($E121,""Dinosaur""),""Dinosaur "","""")&amp;IF(R"&amp;"EGEXMATCH($E121,""Warrior""),""Warrior "","""")&amp;IF(REGEXMATCH($E121,""Spirit""),""Spirit "","""")&amp;IF(REGEXMATCH($E121,""Angel""),""Angel "","""")&amp;IF(REGEXMATCH($E121,""Demon""),""Demon "","""")&amp;IF(REGEXMATCH($E121,""Divine""),""Divine "","""")&amp;IF(REGEXMAT"&amp;"CH($E121,""Elemental""),""Elemental "","""")&amp;IF(REGEXMATCH($E121,""Nature""),""Nature "","""")&amp;IF(REGEXMATCH($E121,""Mortal""),""Mortal "","""")&amp;IF(REGEXMATCH($E121,""Void""),""Void "","""")&amp;IF(REGEXMATCH($E121,""Unearth|Ambush|Ritual|unearth|ambush|ritua"&amp;"l""),""Unearth "","""")&amp;IF(REGEXMATCH($E121,""Unleash|Crystallize|all realms|Crystalborn|crystallize""),""Ramp "","""")&amp;IF(REGEXMATCH($E121,""Demon""),""Demon "","""")&amp;IF(REGEXMATCH($E121,""bury|buries|Bury|Buries|Cleanse|puts a Unit|trail|Trail""),""Cont"&amp;"rol "","""")&amp;IF(REGEXMATCH($E121,""Bounce|Return|Copy|bounce|return|copy""),""Copy "","""")&amp;IF(REGEXMATCH($E121,""conquer|Conquer|leading in lanes|lead by""),""Aggro "","""")&amp;IF(REGEXMATCH($E121,""Ascend|ascend""),""Ascend "","""")&amp;IF(REGEXMATCH($E121,""B"&amp;"ury .+ Crystal|.*crystal.*bury""),""Empty-Crystal"","""")&amp;IF(REGEXMATCH($E121,""Move|move""),""Move"","""")"),"Control ")</f>
        <v>Control </v>
      </c>
      <c r="G121" s="56"/>
      <c r="H121" s="18">
        <v>5.0</v>
      </c>
      <c r="I121" s="18" t="s">
        <v>403</v>
      </c>
      <c r="J121" s="18" t="s">
        <v>42</v>
      </c>
      <c r="L121" s="13" t="str">
        <f>IFERROR(__xludf.DUMMYFUNCTION("IF(REGEXMATCH($B121,L$1),$D121,"""")"),"Spirit")</f>
        <v>Spirit</v>
      </c>
      <c r="M121" s="13" t="str">
        <f>IFERROR(__xludf.DUMMYFUNCTION("IF(REGEXMATCH($B121,M$1),$D121,"""")"),"")</f>
        <v/>
      </c>
      <c r="N121" s="13" t="str">
        <f>IFERROR(__xludf.DUMMYFUNCTION("IF(REGEXMATCH($B121,N$1),$D121,"""")"),"")</f>
        <v/>
      </c>
      <c r="O121" s="13" t="str">
        <f>IFERROR(__xludf.DUMMYFUNCTION("IF(REGEXMATCH($B121,O$1),$D121,"""")"),"")</f>
        <v/>
      </c>
      <c r="P121" s="13" t="str">
        <f>IFERROR(__xludf.DUMMYFUNCTION("IF(REGEXMATCH($B121,P$1),$D121,"""")"),"")</f>
        <v/>
      </c>
      <c r="Q121" s="13">
        <f>IFERROR(__xludf.DUMMYFUNCTION("IF($A121="""","""",LEN(REGEXREPLACE($I121,"",\s?"","""")))"),2.0)</f>
        <v>2</v>
      </c>
      <c r="S121" s="13"/>
      <c r="T121" s="13"/>
      <c r="U121" s="13"/>
      <c r="V121" s="13"/>
      <c r="W121" s="13"/>
      <c r="X121" s="13"/>
      <c r="Y121" s="13"/>
      <c r="Z121" s="13"/>
      <c r="AA121" s="13"/>
      <c r="AB121" s="13"/>
    </row>
    <row r="122" hidden="1">
      <c r="A122" s="22" t="s">
        <v>660</v>
      </c>
      <c r="B122" s="42" t="s">
        <v>661</v>
      </c>
      <c r="C122" s="11">
        <v>2.0</v>
      </c>
      <c r="D122" s="11" t="s">
        <v>345</v>
      </c>
      <c r="E122" s="10" t="s">
        <v>662</v>
      </c>
      <c r="F122" s="10" t="str">
        <f>IFERROR(__xludf.DUMMYFUNCTION("IF(REGEXMATCH($E122,""Wizard""),""Wizard "","""")&amp;IF(REGEXMATCH($E122,""Construct""),""Construct "","""")&amp;IF(REGEXMATCH($E122,""Insect""),""Insect "","""")&amp;IF(REGEXMATCH($E122,""Dragon""),""Dragon "","""")&amp;IF(REGEXMATCH($E122,""Human""),""Human "","""")&amp;I"&amp;"F(REGEXMATCH($E122,""Hunter""),""Hunter "","""")&amp;IF(REGEXMATCH($E122,""Animal""),""Animal "","""")&amp;IF(REGEXMATCH($E122,""Undead""),""Undead "","""")&amp;IF(REGEXMATCH($E122,""Plant""),""Plant "","""")&amp;IF(REGEXMATCH($E122,""Dinosaur""),""Dinosaur "","""")&amp;IF(R"&amp;"EGEXMATCH($E122,""Warrior""),""Warrior "","""")&amp;IF(REGEXMATCH($E122,""Spirit""),""Spirit "","""")&amp;IF(REGEXMATCH($E122,""Angel""),""Angel "","""")&amp;IF(REGEXMATCH($E122,""Demon""),""Demon "","""")&amp;IF(REGEXMATCH($E122,""Divine""),""Divine "","""")&amp;IF(REGEXMAT"&amp;"CH($E122,""Elemental""),""Elemental "","""")&amp;IF(REGEXMATCH($E122,""Nature""),""Nature "","""")&amp;IF(REGEXMATCH($E122,""Mortal""),""Mortal "","""")&amp;IF(REGEXMATCH($E122,""Void""),""Void "","""")&amp;IF(REGEXMATCH($E122,""Unearth|Ambush|Ritual|unearth|ambush|ritua"&amp;"l""),""Unearth "","""")&amp;IF(REGEXMATCH($E122,""Unleash|Crystallize|all realms|Crystalborn|crystallize""),""Ramp "","""")&amp;IF(REGEXMATCH($E122,""Demon""),""Demon "","""")&amp;IF(REGEXMATCH($E122,""bury|buries|Bury|Buries|Cleanse|puts a Unit|trail|Trail""),""Cont"&amp;"rol "","""")&amp;IF(REGEXMATCH($E122,""Bounce|Return|Copy|bounce|return|copy""),""Copy "","""")&amp;IF(REGEXMATCH($E122,""conquer|Conquer|leading in lanes|lead by""),""Aggro "","""")&amp;IF(REGEXMATCH($E122,""Ascend|ascend""),""Ascend "","""")&amp;IF(REGEXMATCH($E122,""B"&amp;"ury .+ Crystal|.*crystal.*bury""),""Empty-Crystal"","""")&amp;IF(REGEXMATCH($E122,""Move|move""),""Move"","""")"),"Wizard ")</f>
        <v>Wizard </v>
      </c>
      <c r="G122" s="12" t="s">
        <v>663</v>
      </c>
      <c r="H122" s="11">
        <v>3.0</v>
      </c>
      <c r="I122" s="11" t="s">
        <v>664</v>
      </c>
      <c r="J122" s="11" t="s">
        <v>50</v>
      </c>
      <c r="L122" s="13" t="str">
        <f>IFERROR(__xludf.DUMMYFUNCTION("IF(REGEXMATCH($B122,L$1),$D122,"""")"),"Human Wizard")</f>
        <v>Human Wizard</v>
      </c>
      <c r="M122" s="13" t="str">
        <f>IFERROR(__xludf.DUMMYFUNCTION("IF(REGEXMATCH($B122,M$1),$D122,"""")"),"")</f>
        <v/>
      </c>
      <c r="N122" s="13" t="str">
        <f>IFERROR(__xludf.DUMMYFUNCTION("IF(REGEXMATCH($B122,N$1),$D122,"""")"),"")</f>
        <v/>
      </c>
      <c r="O122" s="13" t="str">
        <f>IFERROR(__xludf.DUMMYFUNCTION("IF(REGEXMATCH($B122,O$1),$D122,"""")"),"Human Wizard")</f>
        <v>Human Wizard</v>
      </c>
      <c r="P122" s="13" t="str">
        <f>IFERROR(__xludf.DUMMYFUNCTION("IF(REGEXMATCH($B122,P$1),$D122,"""")"),"")</f>
        <v/>
      </c>
      <c r="Q122" s="13">
        <f>IFERROR(__xludf.DUMMYFUNCTION("IF($A122="""","""",LEN(REGEXREPLACE($I122,"",\s?"","""")))"),4.0)</f>
        <v>4</v>
      </c>
      <c r="S122" s="13"/>
      <c r="T122" s="13"/>
      <c r="U122" s="13"/>
      <c r="V122" s="13"/>
      <c r="W122" s="13"/>
      <c r="X122" s="13"/>
      <c r="Y122" s="13"/>
      <c r="Z122" s="13"/>
      <c r="AA122" s="13"/>
      <c r="AB122" s="13"/>
    </row>
    <row r="123" hidden="1">
      <c r="A123" s="27" t="s">
        <v>665</v>
      </c>
      <c r="B123" s="42" t="s">
        <v>661</v>
      </c>
      <c r="C123" s="11">
        <v>2.0</v>
      </c>
      <c r="D123" s="11" t="s">
        <v>666</v>
      </c>
      <c r="E123" s="10" t="s">
        <v>667</v>
      </c>
      <c r="F123" s="10" t="str">
        <f>IFERROR(__xludf.DUMMYFUNCTION("IF(REGEXMATCH($E123,""Wizard""),""Wizard "","""")&amp;IF(REGEXMATCH($E123,""Construct""),""Construct "","""")&amp;IF(REGEXMATCH($E123,""Insect""),""Insect "","""")&amp;IF(REGEXMATCH($E123,""Dragon""),""Dragon "","""")&amp;IF(REGEXMATCH($E123,""Human""),""Human "","""")&amp;I"&amp;"F(REGEXMATCH($E123,""Hunter""),""Hunter "","""")&amp;IF(REGEXMATCH($E123,""Animal""),""Animal "","""")&amp;IF(REGEXMATCH($E123,""Undead""),""Undead "","""")&amp;IF(REGEXMATCH($E123,""Plant""),""Plant "","""")&amp;IF(REGEXMATCH($E123,""Dinosaur""),""Dinosaur "","""")&amp;IF(R"&amp;"EGEXMATCH($E123,""Warrior""),""Warrior "","""")&amp;IF(REGEXMATCH($E123,""Spirit""),""Spirit "","""")&amp;IF(REGEXMATCH($E123,""Angel""),""Angel "","""")&amp;IF(REGEXMATCH($E123,""Demon""),""Demon "","""")&amp;IF(REGEXMATCH($E123,""Divine""),""Divine "","""")&amp;IF(REGEXMAT"&amp;"CH($E123,""Elemental""),""Elemental "","""")&amp;IF(REGEXMATCH($E123,""Nature""),""Nature "","""")&amp;IF(REGEXMATCH($E123,""Mortal""),""Mortal "","""")&amp;IF(REGEXMATCH($E123,""Void""),""Void "","""")&amp;IF(REGEXMATCH($E123,""Unearth|Ambush|Ritual|unearth|ambush|ritua"&amp;"l""),""Unearth "","""")&amp;IF(REGEXMATCH($E123,""Unleash|Crystallize|all realms|Crystalborn|crystallize""),""Ramp "","""")&amp;IF(REGEXMATCH($E123,""Demon""),""Demon "","""")&amp;IF(REGEXMATCH($E123,""bury|buries|Bury|Buries|Cleanse|puts a Unit|trail|Trail""),""Cont"&amp;"rol "","""")&amp;IF(REGEXMATCH($E123,""Bounce|Return|Copy|bounce|return|copy""),""Copy "","""")&amp;IF(REGEXMATCH($E123,""conquer|Conquer|leading in lanes|lead by""),""Aggro "","""")&amp;IF(REGEXMATCH($E123,""Ascend|ascend""),""Ascend "","""")&amp;IF(REGEXMATCH($E123,""B"&amp;"ury .+ Crystal|.*crystal.*bury""),""Empty-Crystal"","""")&amp;IF(REGEXMATCH($E123,""Move|move""),""Move"","""")"),"Control Aggro ")</f>
        <v>Control Aggro </v>
      </c>
      <c r="G123" s="12" t="s">
        <v>668</v>
      </c>
      <c r="H123" s="11">
        <v>6.0</v>
      </c>
      <c r="I123" s="11" t="s">
        <v>669</v>
      </c>
      <c r="J123" s="11" t="s">
        <v>33</v>
      </c>
      <c r="L123" s="13" t="str">
        <f>IFERROR(__xludf.DUMMYFUNCTION("IF(REGEXMATCH($B123,L$1),$D123,"""")"),"Dragon Warrior")</f>
        <v>Dragon Warrior</v>
      </c>
      <c r="M123" s="13" t="str">
        <f>IFERROR(__xludf.DUMMYFUNCTION("IF(REGEXMATCH($B123,M$1),$D123,"""")"),"")</f>
        <v/>
      </c>
      <c r="N123" s="13" t="str">
        <f>IFERROR(__xludf.DUMMYFUNCTION("IF(REGEXMATCH($B123,N$1),$D123,"""")"),"")</f>
        <v/>
      </c>
      <c r="O123" s="13" t="str">
        <f>IFERROR(__xludf.DUMMYFUNCTION("IF(REGEXMATCH($B123,O$1),$D123,"""")"),"Dragon Warrior")</f>
        <v>Dragon Warrior</v>
      </c>
      <c r="P123" s="13" t="str">
        <f>IFERROR(__xludf.DUMMYFUNCTION("IF(REGEXMATCH($B123,P$1),$D123,"""")"),"")</f>
        <v/>
      </c>
      <c r="Q123" s="13">
        <f>IFERROR(__xludf.DUMMYFUNCTION("IF($A123="""","""",LEN(REGEXREPLACE($I123,"",\s?"","""")))"),6.0)</f>
        <v>6</v>
      </c>
      <c r="S123" s="13"/>
      <c r="T123" s="13"/>
      <c r="U123" s="13"/>
      <c r="V123" s="13"/>
      <c r="W123" s="13"/>
      <c r="X123" s="13"/>
      <c r="Y123" s="13"/>
      <c r="Z123" s="13"/>
      <c r="AA123" s="13"/>
      <c r="AB123" s="13"/>
    </row>
    <row r="124" hidden="1">
      <c r="A124" s="10" t="s">
        <v>670</v>
      </c>
      <c r="B124" s="42" t="s">
        <v>671</v>
      </c>
      <c r="C124" s="11">
        <v>2.0</v>
      </c>
      <c r="D124" s="11" t="s">
        <v>672</v>
      </c>
      <c r="E124" s="66" t="s">
        <v>673</v>
      </c>
      <c r="F124" s="10" t="str">
        <f>IFERROR(__xludf.DUMMYFUNCTION("IF(REGEXMATCH($E124,""Wizard""),""Wizard "","""")&amp;IF(REGEXMATCH($E124,""Construct""),""Construct "","""")&amp;IF(REGEXMATCH($E124,""Insect""),""Insect "","""")&amp;IF(REGEXMATCH($E124,""Dragon""),""Dragon "","""")&amp;IF(REGEXMATCH($E124,""Human""),""Human "","""")&amp;I"&amp;"F(REGEXMATCH($E124,""Hunter""),""Hunter "","""")&amp;IF(REGEXMATCH($E124,""Animal""),""Animal "","""")&amp;IF(REGEXMATCH($E124,""Undead""),""Undead "","""")&amp;IF(REGEXMATCH($E124,""Plant""),""Plant "","""")&amp;IF(REGEXMATCH($E124,""Dinosaur""),""Dinosaur "","""")&amp;IF(R"&amp;"EGEXMATCH($E124,""Warrior""),""Warrior "","""")&amp;IF(REGEXMATCH($E124,""Spirit""),""Spirit "","""")&amp;IF(REGEXMATCH($E124,""Angel""),""Angel "","""")&amp;IF(REGEXMATCH($E124,""Demon""),""Demon "","""")&amp;IF(REGEXMATCH($E124,""Divine""),""Divine "","""")&amp;IF(REGEXMAT"&amp;"CH($E124,""Elemental""),""Elemental "","""")&amp;IF(REGEXMATCH($E124,""Nature""),""Nature "","""")&amp;IF(REGEXMATCH($E124,""Mortal""),""Mortal "","""")&amp;IF(REGEXMATCH($E124,""Void""),""Void "","""")&amp;IF(REGEXMATCH($E124,""Unearth|Ambush|Ritual|unearth|ambush|ritua"&amp;"l""),""Unearth "","""")&amp;IF(REGEXMATCH($E124,""Unleash|Crystallize|all realms|Crystalborn|crystallize""),""Ramp "","""")&amp;IF(REGEXMATCH($E124,""Demon""),""Demon "","""")&amp;IF(REGEXMATCH($E124,""bury|buries|Bury|Buries|Cleanse|puts a Unit|trail|Trail""),""Cont"&amp;"rol "","""")&amp;IF(REGEXMATCH($E124,""Bounce|Return|Copy|bounce|return|copy""),""Copy "","""")&amp;IF(REGEXMATCH($E124,""conquer|Conquer|leading in lanes|lead by""),""Aggro "","""")&amp;IF(REGEXMATCH($E124,""Ascend|ascend""),""Ascend "","""")&amp;IF(REGEXMATCH($E124,""B"&amp;"ury .+ Crystal|.*crystal.*bury""),""Empty-Crystal"","""")&amp;IF(REGEXMATCH($E124,""Move|move""),""Move"","""")"),"Ramp Copy ")</f>
        <v>Ramp Copy </v>
      </c>
      <c r="G124" s="55" t="s">
        <v>674</v>
      </c>
      <c r="H124" s="11">
        <v>5.0</v>
      </c>
      <c r="I124" s="11" t="s">
        <v>675</v>
      </c>
      <c r="J124" s="11" t="s">
        <v>50</v>
      </c>
      <c r="L124" s="13" t="str">
        <f>IFERROR(__xludf.DUMMYFUNCTION("IF(REGEXMATCH($B124,L$1),$D124,"""")"),"Human Plant")</f>
        <v>Human Plant</v>
      </c>
      <c r="M124" s="13" t="str">
        <f>IFERROR(__xludf.DUMMYFUNCTION("IF(REGEXMATCH($B124,M$1),$D124,"""")"),"Human Plant")</f>
        <v>Human Plant</v>
      </c>
      <c r="N124" s="13" t="str">
        <f>IFERROR(__xludf.DUMMYFUNCTION("IF(REGEXMATCH($B124,N$1),$D124,"""")"),"")</f>
        <v/>
      </c>
      <c r="O124" s="13" t="str">
        <f>IFERROR(__xludf.DUMMYFUNCTION("IF(REGEXMATCH($B124,O$1),$D124,"""")"),"")</f>
        <v/>
      </c>
      <c r="P124" s="13" t="str">
        <f>IFERROR(__xludf.DUMMYFUNCTION("IF(REGEXMATCH($B124,P$1),$D124,"""")"),"")</f>
        <v/>
      </c>
      <c r="Q124" s="13">
        <f>IFERROR(__xludf.DUMMYFUNCTION("IF($A124="""","""",LEN(REGEXREPLACE($I124,"",\s?"","""")))"),4.0)</f>
        <v>4</v>
      </c>
      <c r="S124" s="13"/>
      <c r="T124" s="13"/>
      <c r="U124" s="13"/>
      <c r="V124" s="13"/>
      <c r="W124" s="13"/>
      <c r="X124" s="13"/>
      <c r="Y124" s="13"/>
      <c r="Z124" s="13"/>
      <c r="AA124" s="13"/>
      <c r="AB124" s="13"/>
    </row>
    <row r="125" hidden="1">
      <c r="A125" s="22" t="s">
        <v>676</v>
      </c>
      <c r="B125" s="42" t="s">
        <v>671</v>
      </c>
      <c r="C125" s="11">
        <v>2.0</v>
      </c>
      <c r="D125" s="25" t="s">
        <v>677</v>
      </c>
      <c r="E125" s="10" t="s">
        <v>678</v>
      </c>
      <c r="F125" s="10" t="str">
        <f>IFERROR(__xludf.DUMMYFUNCTION("IF(REGEXMATCH($E125,""Wizard""),""Wizard "","""")&amp;IF(REGEXMATCH($E125,""Construct""),""Construct "","""")&amp;IF(REGEXMATCH($E125,""Insect""),""Insect "","""")&amp;IF(REGEXMATCH($E125,""Dragon""),""Dragon "","""")&amp;IF(REGEXMATCH($E125,""Human""),""Human "","""")&amp;I"&amp;"F(REGEXMATCH($E125,""Hunter""),""Hunter "","""")&amp;IF(REGEXMATCH($E125,""Animal""),""Animal "","""")&amp;IF(REGEXMATCH($E125,""Undead""),""Undead "","""")&amp;IF(REGEXMATCH($E125,""Plant""),""Plant "","""")&amp;IF(REGEXMATCH($E125,""Dinosaur""),""Dinosaur "","""")&amp;IF(R"&amp;"EGEXMATCH($E125,""Warrior""),""Warrior "","""")&amp;IF(REGEXMATCH($E125,""Spirit""),""Spirit "","""")&amp;IF(REGEXMATCH($E125,""Angel""),""Angel "","""")&amp;IF(REGEXMATCH($E125,""Demon""),""Demon "","""")&amp;IF(REGEXMATCH($E125,""Divine""),""Divine "","""")&amp;IF(REGEXMAT"&amp;"CH($E125,""Elemental""),""Elemental "","""")&amp;IF(REGEXMATCH($E125,""Nature""),""Nature "","""")&amp;IF(REGEXMATCH($E125,""Mortal""),""Mortal "","""")&amp;IF(REGEXMATCH($E125,""Void""),""Void "","""")&amp;IF(REGEXMATCH($E125,""Unearth|Ambush|Ritual|unearth|ambush|ritua"&amp;"l""),""Unearth "","""")&amp;IF(REGEXMATCH($E125,""Unleash|Crystallize|all realms|Crystalborn|crystallize""),""Ramp "","""")&amp;IF(REGEXMATCH($E125,""Demon""),""Demon "","""")&amp;IF(REGEXMATCH($E125,""bury|buries|Bury|Buries|Cleanse|puts a Unit|trail|Trail""),""Cont"&amp;"rol "","""")&amp;IF(REGEXMATCH($E125,""Bounce|Return|Copy|bounce|return|copy""),""Copy "","""")&amp;IF(REGEXMATCH($E125,""conquer|Conquer|leading in lanes|lead by""),""Aggro "","""")&amp;IF(REGEXMATCH($E125,""Ascend|ascend""),""Ascend "","""")&amp;IF(REGEXMATCH($E125,""B"&amp;"ury .+ Crystal|.*crystal.*bury""),""Empty-Crystal"","""")&amp;IF(REGEXMATCH($E125,""Move|move""),""Move"","""")"),"Move")</f>
        <v>Move</v>
      </c>
      <c r="G125" s="12" t="s">
        <v>679</v>
      </c>
      <c r="H125" s="11">
        <v>5.0</v>
      </c>
      <c r="I125" s="11" t="s">
        <v>680</v>
      </c>
      <c r="J125" s="11" t="s">
        <v>50</v>
      </c>
      <c r="L125" s="13" t="str">
        <f>IFERROR(__xludf.DUMMYFUNCTION("IF(REGEXMATCH($B125,L$1),$D125,"""")"),"Dinosaur Warrior")</f>
        <v>Dinosaur Warrior</v>
      </c>
      <c r="M125" s="13" t="str">
        <f>IFERROR(__xludf.DUMMYFUNCTION("IF(REGEXMATCH($B125,M$1),$D125,"""")"),"Dinosaur Warrior")</f>
        <v>Dinosaur Warrior</v>
      </c>
      <c r="N125" s="13" t="str">
        <f>IFERROR(__xludf.DUMMYFUNCTION("IF(REGEXMATCH($B125,N$1),$D125,"""")"),"")</f>
        <v/>
      </c>
      <c r="O125" s="13" t="str">
        <f>IFERROR(__xludf.DUMMYFUNCTION("IF(REGEXMATCH($B125,O$1),$D125,"""")"),"")</f>
        <v/>
      </c>
      <c r="P125" s="13" t="str">
        <f>IFERROR(__xludf.DUMMYFUNCTION("IF(REGEXMATCH($B125,P$1),$D125,"""")"),"")</f>
        <v/>
      </c>
      <c r="Q125" s="13">
        <f>IFERROR(__xludf.DUMMYFUNCTION("IF($A125="""","""",LEN(REGEXREPLACE($I125,"",\s?"","""")))"),5.0)</f>
        <v>5</v>
      </c>
      <c r="S125" s="13"/>
      <c r="T125" s="13"/>
      <c r="U125" s="13"/>
      <c r="V125" s="13"/>
      <c r="W125" s="13"/>
      <c r="X125" s="13"/>
      <c r="Y125" s="13"/>
      <c r="Z125" s="13"/>
      <c r="AA125" s="13"/>
      <c r="AB125" s="13"/>
    </row>
    <row r="126">
      <c r="A126" s="31" t="s">
        <v>681</v>
      </c>
      <c r="B126" s="64" t="s">
        <v>11</v>
      </c>
      <c r="C126" s="18">
        <v>1.0</v>
      </c>
      <c r="D126" s="18" t="s">
        <v>283</v>
      </c>
      <c r="E126" s="19" t="s">
        <v>682</v>
      </c>
      <c r="F126" s="10" t="str">
        <f>IFERROR(__xludf.DUMMYFUNCTION("IF(REGEXMATCH($E126,""Wizard""),""Wizard "","""")&amp;IF(REGEXMATCH($E126,""Construct""),""Construct "","""")&amp;IF(REGEXMATCH($E126,""Insect""),""Insect "","""")&amp;IF(REGEXMATCH($E126,""Dragon""),""Dragon "","""")&amp;IF(REGEXMATCH($E126,""Human""),""Human "","""")&amp;I"&amp;"F(REGEXMATCH($E126,""Hunter""),""Hunter "","""")&amp;IF(REGEXMATCH($E126,""Animal""),""Animal "","""")&amp;IF(REGEXMATCH($E126,""Undead""),""Undead "","""")&amp;IF(REGEXMATCH($E126,""Plant""),""Plant "","""")&amp;IF(REGEXMATCH($E126,""Dinosaur""),""Dinosaur "","""")&amp;IF(R"&amp;"EGEXMATCH($E126,""Warrior""),""Warrior "","""")&amp;IF(REGEXMATCH($E126,""Spirit""),""Spirit "","""")&amp;IF(REGEXMATCH($E126,""Angel""),""Angel "","""")&amp;IF(REGEXMATCH($E126,""Demon""),""Demon "","""")&amp;IF(REGEXMATCH($E126,""Divine""),""Divine "","""")&amp;IF(REGEXMAT"&amp;"CH($E126,""Elemental""),""Elemental "","""")&amp;IF(REGEXMATCH($E126,""Nature""),""Nature "","""")&amp;IF(REGEXMATCH($E126,""Mortal""),""Mortal "","""")&amp;IF(REGEXMATCH($E126,""Void""),""Void "","""")&amp;IF(REGEXMATCH($E126,""Unearth|Ambush|Ritual|unearth|ambush|ritua"&amp;"l""),""Unearth "","""")&amp;IF(REGEXMATCH($E126,""Unleash|Crystallize|all realms|Crystalborn|crystallize""),""Ramp "","""")&amp;IF(REGEXMATCH($E126,""Demon""),""Demon "","""")&amp;IF(REGEXMATCH($E126,""bury|buries|Bury|Buries|Cleanse|puts a Unit|trail|Trail""),""Cont"&amp;"rol "","""")&amp;IF(REGEXMATCH($E126,""Bounce|Return|Copy|bounce|return|copy""),""Copy "","""")&amp;IF(REGEXMATCH($E126,""conquer|Conquer|leading in lanes|lead by""),""Aggro "","""")&amp;IF(REGEXMATCH($E126,""Ascend|ascend""),""Ascend "","""")&amp;IF(REGEXMATCH($E126,""B"&amp;"ury .+ Crystal|.*crystal.*bury""),""Empty-Crystal"","""")&amp;IF(REGEXMATCH($E126,""Move|move""),""Move"","""")"),"Elemental ")</f>
        <v>Elemental </v>
      </c>
      <c r="G126" s="20" t="s">
        <v>683</v>
      </c>
      <c r="H126" s="18">
        <v>4.0</v>
      </c>
      <c r="I126" s="18" t="s">
        <v>545</v>
      </c>
      <c r="J126" s="18" t="s">
        <v>50</v>
      </c>
      <c r="L126" s="13" t="str">
        <f>IFERROR(__xludf.DUMMYFUNCTION("IF(REGEXMATCH($B126,L$1),$D126,"""")"),"Insect Wizard")</f>
        <v>Insect Wizard</v>
      </c>
      <c r="M126" s="13" t="str">
        <f>IFERROR(__xludf.DUMMYFUNCTION("IF(REGEXMATCH($B126,M$1),$D126,"""")"),"")</f>
        <v/>
      </c>
      <c r="N126" s="13" t="str">
        <f>IFERROR(__xludf.DUMMYFUNCTION("IF(REGEXMATCH($B126,N$1),$D126,"""")"),"")</f>
        <v/>
      </c>
      <c r="O126" s="13" t="str">
        <f>IFERROR(__xludf.DUMMYFUNCTION("IF(REGEXMATCH($B126,O$1),$D126,"""")"),"")</f>
        <v/>
      </c>
      <c r="P126" s="13" t="str">
        <f>IFERROR(__xludf.DUMMYFUNCTION("IF(REGEXMATCH($B126,P$1),$D126,"""")"),"")</f>
        <v/>
      </c>
      <c r="Q126" s="13">
        <f>IFERROR(__xludf.DUMMYFUNCTION("IF($A126="""","""",LEN(REGEXREPLACE($I126,"",\s?"","""")))"),6.0)</f>
        <v>6</v>
      </c>
      <c r="S126" s="13"/>
      <c r="T126" s="13"/>
      <c r="U126" s="13"/>
      <c r="V126" s="13"/>
      <c r="W126" s="13"/>
      <c r="X126" s="13"/>
      <c r="Y126" s="13"/>
      <c r="Z126" s="13"/>
      <c r="AA126" s="13"/>
      <c r="AB126" s="13"/>
    </row>
    <row r="127" hidden="1">
      <c r="A127" s="19" t="s">
        <v>684</v>
      </c>
      <c r="B127" s="64" t="s">
        <v>671</v>
      </c>
      <c r="C127" s="18">
        <v>0.0</v>
      </c>
      <c r="D127" s="18" t="s">
        <v>677</v>
      </c>
      <c r="E127" s="19" t="s">
        <v>685</v>
      </c>
      <c r="F127" s="10" t="str">
        <f>IFERROR(__xludf.DUMMYFUNCTION("IF(REGEXMATCH($E127,""Wizard""),""Wizard "","""")&amp;IF(REGEXMATCH($E127,""Construct""),""Construct "","""")&amp;IF(REGEXMATCH($E127,""Insect""),""Insect "","""")&amp;IF(REGEXMATCH($E127,""Dragon""),""Dragon "","""")&amp;IF(REGEXMATCH($E127,""Human""),""Human "","""")&amp;I"&amp;"F(REGEXMATCH($E127,""Hunter""),""Hunter "","""")&amp;IF(REGEXMATCH($E127,""Animal""),""Animal "","""")&amp;IF(REGEXMATCH($E127,""Undead""),""Undead "","""")&amp;IF(REGEXMATCH($E127,""Plant""),""Plant "","""")&amp;IF(REGEXMATCH($E127,""Dinosaur""),""Dinosaur "","""")&amp;IF(R"&amp;"EGEXMATCH($E127,""Warrior""),""Warrior "","""")&amp;IF(REGEXMATCH($E127,""Spirit""),""Spirit "","""")&amp;IF(REGEXMATCH($E127,""Angel""),""Angel "","""")&amp;IF(REGEXMATCH($E127,""Demon""),""Demon "","""")&amp;IF(REGEXMATCH($E127,""Divine""),""Divine "","""")&amp;IF(REGEXMAT"&amp;"CH($E127,""Elemental""),""Elemental "","""")&amp;IF(REGEXMATCH($E127,""Nature""),""Nature "","""")&amp;IF(REGEXMATCH($E127,""Mortal""),""Mortal "","""")&amp;IF(REGEXMATCH($E127,""Void""),""Void "","""")&amp;IF(REGEXMATCH($E127,""Unearth|Ambush|Ritual|unearth|ambush|ritua"&amp;"l""),""Unearth "","""")&amp;IF(REGEXMATCH($E127,""Unleash|Crystallize|all realms|Crystalborn|crystallize""),""Ramp "","""")&amp;IF(REGEXMATCH($E127,""Demon""),""Demon "","""")&amp;IF(REGEXMATCH($E127,""bury|buries|Bury|Buries|Cleanse|puts a Unit|trail|Trail""),""Cont"&amp;"rol "","""")&amp;IF(REGEXMATCH($E127,""Bounce|Return|Copy|bounce|return|copy""),""Copy "","""")&amp;IF(REGEXMATCH($E127,""conquer|Conquer|leading in lanes|lead by""),""Aggro "","""")&amp;IF(REGEXMATCH($E127,""Ascend|ascend""),""Ascend "","""")&amp;IF(REGEXMATCH($E127,""B"&amp;"ury .+ Crystal|.*crystal.*bury""),""Empty-Crystal"","""")&amp;IF(REGEXMATCH($E127,""Move|move""),""Move"","""")"),"Control ")</f>
        <v>Control </v>
      </c>
      <c r="G127" s="56"/>
      <c r="H127" s="18">
        <v>8.0</v>
      </c>
      <c r="I127" s="18" t="s">
        <v>686</v>
      </c>
      <c r="J127" s="18" t="s">
        <v>50</v>
      </c>
      <c r="L127" s="13" t="str">
        <f>IFERROR(__xludf.DUMMYFUNCTION("IF(REGEXMATCH($B127,L$1),$D127,"""")"),"Dinosaur Warrior")</f>
        <v>Dinosaur Warrior</v>
      </c>
      <c r="M127" s="13" t="str">
        <f>IFERROR(__xludf.DUMMYFUNCTION("IF(REGEXMATCH($B127,M$1),$D127,"""")"),"Dinosaur Warrior")</f>
        <v>Dinosaur Warrior</v>
      </c>
      <c r="N127" s="13" t="str">
        <f>IFERROR(__xludf.DUMMYFUNCTION("IF(REGEXMATCH($B127,N$1),$D127,"""")"),"")</f>
        <v/>
      </c>
      <c r="O127" s="13" t="str">
        <f>IFERROR(__xludf.DUMMYFUNCTION("IF(REGEXMATCH($B127,O$1),$D127,"""")"),"")</f>
        <v/>
      </c>
      <c r="P127" s="13" t="str">
        <f>IFERROR(__xludf.DUMMYFUNCTION("IF(REGEXMATCH($B127,P$1),$D127,"""")"),"")</f>
        <v/>
      </c>
      <c r="Q127" s="13">
        <f>IFERROR(__xludf.DUMMYFUNCTION("IF($A127="""","""",LEN(REGEXREPLACE($I127,"",\s?"","""")))"),5.0)</f>
        <v>5</v>
      </c>
      <c r="S127" s="13"/>
      <c r="T127" s="13"/>
      <c r="U127" s="13"/>
      <c r="V127" s="13"/>
      <c r="W127" s="13"/>
      <c r="X127" s="13"/>
      <c r="Y127" s="13"/>
      <c r="Z127" s="13"/>
      <c r="AA127" s="13"/>
      <c r="AB127" s="13"/>
    </row>
    <row r="128" hidden="1">
      <c r="A128" s="19" t="s">
        <v>687</v>
      </c>
      <c r="B128" s="64" t="s">
        <v>671</v>
      </c>
      <c r="C128" s="18">
        <v>2.0</v>
      </c>
      <c r="D128" s="18" t="s">
        <v>221</v>
      </c>
      <c r="E128" s="19" t="s">
        <v>688</v>
      </c>
      <c r="F128" s="10" t="str">
        <f>IFERROR(__xludf.DUMMYFUNCTION("IF(REGEXMATCH($E128,""Wizard""),""Wizard "","""")&amp;IF(REGEXMATCH($E128,""Construct""),""Construct "","""")&amp;IF(REGEXMATCH($E128,""Insect""),""Insect "","""")&amp;IF(REGEXMATCH($E128,""Dragon""),""Dragon "","""")&amp;IF(REGEXMATCH($E128,""Human""),""Human "","""")&amp;I"&amp;"F(REGEXMATCH($E128,""Hunter""),""Hunter "","""")&amp;IF(REGEXMATCH($E128,""Animal""),""Animal "","""")&amp;IF(REGEXMATCH($E128,""Undead""),""Undead "","""")&amp;IF(REGEXMATCH($E128,""Plant""),""Plant "","""")&amp;IF(REGEXMATCH($E128,""Dinosaur""),""Dinosaur "","""")&amp;IF(R"&amp;"EGEXMATCH($E128,""Warrior""),""Warrior "","""")&amp;IF(REGEXMATCH($E128,""Spirit""),""Spirit "","""")&amp;IF(REGEXMATCH($E128,""Angel""),""Angel "","""")&amp;IF(REGEXMATCH($E128,""Demon""),""Demon "","""")&amp;IF(REGEXMATCH($E128,""Divine""),""Divine "","""")&amp;IF(REGEXMAT"&amp;"CH($E128,""Elemental""),""Elemental "","""")&amp;IF(REGEXMATCH($E128,""Nature""),""Nature "","""")&amp;IF(REGEXMATCH($E128,""Mortal""),""Mortal "","""")&amp;IF(REGEXMATCH($E128,""Void""),""Void "","""")&amp;IF(REGEXMATCH($E128,""Unearth|Ambush|Ritual|unearth|ambush|ritua"&amp;"l""),""Unearth "","""")&amp;IF(REGEXMATCH($E128,""Unleash|Crystallize|all realms|Crystalborn|crystallize""),""Ramp "","""")&amp;IF(REGEXMATCH($E128,""Demon""),""Demon "","""")&amp;IF(REGEXMATCH($E128,""bury|buries|Bury|Buries|Cleanse|puts a Unit|trail|Trail""),""Cont"&amp;"rol "","""")&amp;IF(REGEXMATCH($E128,""Bounce|Return|Copy|bounce|return|copy""),""Copy "","""")&amp;IF(REGEXMATCH($E128,""conquer|Conquer|leading in lanes|lead by""),""Aggro "","""")&amp;IF(REGEXMATCH($E128,""Ascend|ascend""),""Ascend "","""")&amp;IF(REGEXMATCH($E128,""B"&amp;"ury .+ Crystal|.*crystal.*bury""),""Empty-Crystal"","""")&amp;IF(REGEXMATCH($E128,""Move|move""),""Move"","""")"),"Dragon Animal Dinosaur Copy ")</f>
        <v>Dragon Animal Dinosaur Copy </v>
      </c>
      <c r="G128" s="20" t="s">
        <v>689</v>
      </c>
      <c r="H128" s="18">
        <v>4.0</v>
      </c>
      <c r="I128" s="18" t="s">
        <v>680</v>
      </c>
      <c r="J128" s="18" t="s">
        <v>50</v>
      </c>
      <c r="L128" s="13" t="str">
        <f>IFERROR(__xludf.DUMMYFUNCTION("IF(REGEXMATCH($B128,L$1),$D128,"""")"),"Human Hunter")</f>
        <v>Human Hunter</v>
      </c>
      <c r="M128" s="13" t="str">
        <f>IFERROR(__xludf.DUMMYFUNCTION("IF(REGEXMATCH($B128,M$1),$D128,"""")"),"Human Hunter")</f>
        <v>Human Hunter</v>
      </c>
      <c r="N128" s="13" t="str">
        <f>IFERROR(__xludf.DUMMYFUNCTION("IF(REGEXMATCH($B128,N$1),$D128,"""")"),"")</f>
        <v/>
      </c>
      <c r="O128" s="13" t="str">
        <f>IFERROR(__xludf.DUMMYFUNCTION("IF(REGEXMATCH($B128,O$1),$D128,"""")"),"")</f>
        <v/>
      </c>
      <c r="P128" s="13" t="str">
        <f>IFERROR(__xludf.DUMMYFUNCTION("IF(REGEXMATCH($B128,P$1),$D128,"""")"),"")</f>
        <v/>
      </c>
      <c r="Q128" s="13">
        <f>IFERROR(__xludf.DUMMYFUNCTION("IF($A128="""","""",LEN(REGEXREPLACE($I128,"",\s?"","""")))"),5.0)</f>
        <v>5</v>
      </c>
      <c r="S128" s="13"/>
      <c r="T128" s="13"/>
      <c r="U128" s="13"/>
      <c r="V128" s="13"/>
      <c r="W128" s="13"/>
      <c r="X128" s="13"/>
      <c r="Y128" s="13"/>
      <c r="Z128" s="13"/>
      <c r="AA128" s="13"/>
      <c r="AB128" s="13"/>
    </row>
    <row r="129">
      <c r="A129" s="10" t="s">
        <v>690</v>
      </c>
      <c r="B129" s="42" t="s">
        <v>11</v>
      </c>
      <c r="C129" s="11">
        <v>1.0</v>
      </c>
      <c r="D129" s="11" t="s">
        <v>317</v>
      </c>
      <c r="E129" s="10" t="s">
        <v>691</v>
      </c>
      <c r="F129" s="10" t="str">
        <f>IFERROR(__xludf.DUMMYFUNCTION("IF(REGEXMATCH($E129,""Wizard""),""Wizard "","""")&amp;IF(REGEXMATCH($E129,""Construct""),""Construct "","""")&amp;IF(REGEXMATCH($E129,""Insect""),""Insect "","""")&amp;IF(REGEXMATCH($E129,""Dragon""),""Dragon "","""")&amp;IF(REGEXMATCH($E129,""Human""),""Human "","""")&amp;I"&amp;"F(REGEXMATCH($E129,""Hunter""),""Hunter "","""")&amp;IF(REGEXMATCH($E129,""Animal""),""Animal "","""")&amp;IF(REGEXMATCH($E129,""Undead""),""Undead "","""")&amp;IF(REGEXMATCH($E129,""Plant""),""Plant "","""")&amp;IF(REGEXMATCH($E129,""Dinosaur""),""Dinosaur "","""")&amp;IF(R"&amp;"EGEXMATCH($E129,""Warrior""),""Warrior "","""")&amp;IF(REGEXMATCH($E129,""Spirit""),""Spirit "","""")&amp;IF(REGEXMATCH($E129,""Angel""),""Angel "","""")&amp;IF(REGEXMATCH($E129,""Demon""),""Demon "","""")&amp;IF(REGEXMATCH($E129,""Divine""),""Divine "","""")&amp;IF(REGEXMAT"&amp;"CH($E129,""Elemental""),""Elemental "","""")&amp;IF(REGEXMATCH($E129,""Nature""),""Nature "","""")&amp;IF(REGEXMATCH($E129,""Mortal""),""Mortal "","""")&amp;IF(REGEXMATCH($E129,""Void""),""Void "","""")&amp;IF(REGEXMATCH($E129,""Unearth|Ambush|Ritual|unearth|ambush|ritua"&amp;"l""),""Unearth "","""")&amp;IF(REGEXMATCH($E129,""Unleash|Crystallize|all realms|Crystalborn|crystallize""),""Ramp "","""")&amp;IF(REGEXMATCH($E129,""Demon""),""Demon "","""")&amp;IF(REGEXMATCH($E129,""bury|buries|Bury|Buries|Cleanse|puts a Unit|trail|Trail""),""Cont"&amp;"rol "","""")&amp;IF(REGEXMATCH($E129,""Bounce|Return|Copy|bounce|return|copy""),""Copy "","""")&amp;IF(REGEXMATCH($E129,""conquer|Conquer|leading in lanes|lead by""),""Aggro "","""")&amp;IF(REGEXMATCH($E129,""Ascend|ascend""),""Ascend "","""")&amp;IF(REGEXMATCH($E129,""B"&amp;"ury .+ Crystal|.*crystal.*bury""),""Empty-Crystal"","""")&amp;IF(REGEXMATCH($E129,""Move|move""),""Move"","""")"),"Elemental ")</f>
        <v>Elemental </v>
      </c>
      <c r="G129" s="12" t="s">
        <v>692</v>
      </c>
      <c r="H129" s="11">
        <v>1.0</v>
      </c>
      <c r="I129" s="11" t="s">
        <v>403</v>
      </c>
      <c r="J129" s="11" t="s">
        <v>42</v>
      </c>
      <c r="L129" s="13" t="str">
        <f>IFERROR(__xludf.DUMMYFUNCTION("IF(REGEXMATCH($B129,L$1),$D129,"""")"),"Spirit")</f>
        <v>Spirit</v>
      </c>
      <c r="M129" s="13" t="str">
        <f>IFERROR(__xludf.DUMMYFUNCTION("IF(REGEXMATCH($B129,M$1),$D129,"""")"),"")</f>
        <v/>
      </c>
      <c r="N129" s="13" t="str">
        <f>IFERROR(__xludf.DUMMYFUNCTION("IF(REGEXMATCH($B129,N$1),$D129,"""")"),"")</f>
        <v/>
      </c>
      <c r="O129" s="13" t="str">
        <f>IFERROR(__xludf.DUMMYFUNCTION("IF(REGEXMATCH($B129,O$1),$D129,"""")"),"")</f>
        <v/>
      </c>
      <c r="P129" s="13" t="str">
        <f>IFERROR(__xludf.DUMMYFUNCTION("IF(REGEXMATCH($B129,P$1),$D129,"""")"),"")</f>
        <v/>
      </c>
      <c r="Q129" s="13">
        <f>IFERROR(__xludf.DUMMYFUNCTION("IF($A129="""","""",LEN(REGEXREPLACE($I129,"",\s?"","""")))"),2.0)</f>
        <v>2</v>
      </c>
      <c r="S129" s="13"/>
      <c r="T129" s="13"/>
      <c r="U129" s="13"/>
      <c r="V129" s="13"/>
      <c r="W129" s="13"/>
      <c r="X129" s="13"/>
      <c r="Y129" s="13"/>
      <c r="Z129" s="13"/>
      <c r="AA129" s="13"/>
      <c r="AB129" s="13"/>
    </row>
    <row r="130" hidden="1">
      <c r="A130" s="19" t="s">
        <v>693</v>
      </c>
      <c r="B130" s="64" t="s">
        <v>694</v>
      </c>
      <c r="C130" s="18">
        <v>2.0</v>
      </c>
      <c r="D130" s="18" t="s">
        <v>695</v>
      </c>
      <c r="E130" s="19" t="s">
        <v>696</v>
      </c>
      <c r="F130" s="10" t="str">
        <f>IFERROR(__xludf.DUMMYFUNCTION("IF(REGEXMATCH($E130,""Wizard""),""Wizard "","""")&amp;IF(REGEXMATCH($E130,""Construct""),""Construct "","""")&amp;IF(REGEXMATCH($E130,""Insect""),""Insect "","""")&amp;IF(REGEXMATCH($E130,""Dragon""),""Dragon "","""")&amp;IF(REGEXMATCH($E130,""Human""),""Human "","""")&amp;I"&amp;"F(REGEXMATCH($E130,""Hunter""),""Hunter "","""")&amp;IF(REGEXMATCH($E130,""Animal""),""Animal "","""")&amp;IF(REGEXMATCH($E130,""Undead""),""Undead "","""")&amp;IF(REGEXMATCH($E130,""Plant""),""Plant "","""")&amp;IF(REGEXMATCH($E130,""Dinosaur""),""Dinosaur "","""")&amp;IF(R"&amp;"EGEXMATCH($E130,""Warrior""),""Warrior "","""")&amp;IF(REGEXMATCH($E130,""Spirit""),""Spirit "","""")&amp;IF(REGEXMATCH($E130,""Angel""),""Angel "","""")&amp;IF(REGEXMATCH($E130,""Demon""),""Demon "","""")&amp;IF(REGEXMATCH($E130,""Divine""),""Divine "","""")&amp;IF(REGEXMAT"&amp;"CH($E130,""Elemental""),""Elemental "","""")&amp;IF(REGEXMATCH($E130,""Nature""),""Nature "","""")&amp;IF(REGEXMATCH($E130,""Mortal""),""Mortal "","""")&amp;IF(REGEXMATCH($E130,""Void""),""Void "","""")&amp;IF(REGEXMATCH($E130,""Unearth|Ambush|Ritual|unearth|ambush|ritua"&amp;"l""),""Unearth "","""")&amp;IF(REGEXMATCH($E130,""Unleash|Crystallize|all realms|Crystalborn|crystallize""),""Ramp "","""")&amp;IF(REGEXMATCH($E130,""Demon""),""Demon "","""")&amp;IF(REGEXMATCH($E130,""bury|buries|Bury|Buries|Cleanse|puts a Unit|trail|Trail""),""Cont"&amp;"rol "","""")&amp;IF(REGEXMATCH($E130,""Bounce|Return|Copy|bounce|return|copy""),""Copy "","""")&amp;IF(REGEXMATCH($E130,""conquer|Conquer|leading in lanes|lead by""),""Aggro "","""")&amp;IF(REGEXMATCH($E130,""Ascend|ascend""),""Ascend "","""")&amp;IF(REGEXMATCH($E130,""B"&amp;"ury .+ Crystal|.*crystal.*bury""),""Empty-Crystal"","""")&amp;IF(REGEXMATCH($E130,""Move|move""),""Move"","""")"),"")</f>
        <v/>
      </c>
      <c r="G130" s="20" t="s">
        <v>521</v>
      </c>
      <c r="H130" s="18">
        <v>0.0</v>
      </c>
      <c r="I130" s="18" t="s">
        <v>697</v>
      </c>
      <c r="J130" s="18" t="s">
        <v>50</v>
      </c>
      <c r="L130" s="13" t="str">
        <f>IFERROR(__xludf.DUMMYFUNCTION("IF(REGEXMATCH($B130,L$1),$D130,"""")"),"Spirit Wizard")</f>
        <v>Spirit Wizard</v>
      </c>
      <c r="M130" s="13" t="str">
        <f>IFERROR(__xludf.DUMMYFUNCTION("IF(REGEXMATCH($B130,M$1),$D130,"""")"),"")</f>
        <v/>
      </c>
      <c r="N130" s="13" t="str">
        <f>IFERROR(__xludf.DUMMYFUNCTION("IF(REGEXMATCH($B130,N$1),$D130,"""")"),"Spirit Wizard")</f>
        <v>Spirit Wizard</v>
      </c>
      <c r="O130" s="13" t="str">
        <f>IFERROR(__xludf.DUMMYFUNCTION("IF(REGEXMATCH($B130,O$1),$D130,"""")"),"")</f>
        <v/>
      </c>
      <c r="P130" s="13" t="str">
        <f>IFERROR(__xludf.DUMMYFUNCTION("IF(REGEXMATCH($B130,P$1),$D130,"""")"),"")</f>
        <v/>
      </c>
      <c r="Q130" s="13">
        <f>IFERROR(__xludf.DUMMYFUNCTION("IF($A130="""","""",LEN(REGEXREPLACE($I130,"",\s?"","""")))"),2.0)</f>
        <v>2</v>
      </c>
      <c r="S130" s="13"/>
      <c r="T130" s="13"/>
      <c r="U130" s="13"/>
      <c r="V130" s="13"/>
      <c r="W130" s="13"/>
      <c r="X130" s="13"/>
      <c r="Y130" s="13"/>
      <c r="Z130" s="13"/>
      <c r="AA130" s="13"/>
      <c r="AB130" s="13"/>
    </row>
    <row r="131" hidden="1">
      <c r="A131" s="19" t="s">
        <v>698</v>
      </c>
      <c r="B131" s="64" t="s">
        <v>694</v>
      </c>
      <c r="C131" s="18">
        <v>2.0</v>
      </c>
      <c r="D131" s="18" t="s">
        <v>699</v>
      </c>
      <c r="E131" s="19" t="s">
        <v>700</v>
      </c>
      <c r="F131" s="10" t="str">
        <f>IFERROR(__xludf.DUMMYFUNCTION("IF(REGEXMATCH($E131,""Wizard""),""Wizard "","""")&amp;IF(REGEXMATCH($E131,""Construct""),""Construct "","""")&amp;IF(REGEXMATCH($E131,""Insect""),""Insect "","""")&amp;IF(REGEXMATCH($E131,""Dragon""),""Dragon "","""")&amp;IF(REGEXMATCH($E131,""Human""),""Human "","""")&amp;I"&amp;"F(REGEXMATCH($E131,""Hunter""),""Hunter "","""")&amp;IF(REGEXMATCH($E131,""Animal""),""Animal "","""")&amp;IF(REGEXMATCH($E131,""Undead""),""Undead "","""")&amp;IF(REGEXMATCH($E131,""Plant""),""Plant "","""")&amp;IF(REGEXMATCH($E131,""Dinosaur""),""Dinosaur "","""")&amp;IF(R"&amp;"EGEXMATCH($E131,""Warrior""),""Warrior "","""")&amp;IF(REGEXMATCH($E131,""Spirit""),""Spirit "","""")&amp;IF(REGEXMATCH($E131,""Angel""),""Angel "","""")&amp;IF(REGEXMATCH($E131,""Demon""),""Demon "","""")&amp;IF(REGEXMATCH($E131,""Divine""),""Divine "","""")&amp;IF(REGEXMAT"&amp;"CH($E131,""Elemental""),""Elemental "","""")&amp;IF(REGEXMATCH($E131,""Nature""),""Nature "","""")&amp;IF(REGEXMATCH($E131,""Mortal""),""Mortal "","""")&amp;IF(REGEXMATCH($E131,""Void""),""Void "","""")&amp;IF(REGEXMATCH($E131,""Unearth|Ambush|Ritual|unearth|ambush|ritua"&amp;"l""),""Unearth "","""")&amp;IF(REGEXMATCH($E131,""Unleash|Crystallize|all realms|Crystalborn|crystallize""),""Ramp "","""")&amp;IF(REGEXMATCH($E131,""Demon""),""Demon "","""")&amp;IF(REGEXMATCH($E131,""bury|buries|Bury|Buries|Cleanse|puts a Unit|trail|Trail""),""Cont"&amp;"rol "","""")&amp;IF(REGEXMATCH($E131,""Bounce|Return|Copy|bounce|return|copy""),""Copy "","""")&amp;IF(REGEXMATCH($E131,""conquer|Conquer|leading in lanes|lead by""),""Aggro "","""")&amp;IF(REGEXMATCH($E131,""Ascend|ascend""),""Ascend "","""")&amp;IF(REGEXMATCH($E131,""B"&amp;"ury .+ Crystal|.*crystal.*bury""),""Empty-Crystal"","""")&amp;IF(REGEXMATCH($E131,""Move|move""),""Move"","""")"),"Spirit Unearth ")</f>
        <v>Spirit Unearth </v>
      </c>
      <c r="G131" s="20" t="s">
        <v>701</v>
      </c>
      <c r="H131" s="18">
        <v>3.0</v>
      </c>
      <c r="I131" s="18" t="s">
        <v>702</v>
      </c>
      <c r="J131" s="18" t="s">
        <v>50</v>
      </c>
      <c r="L131" s="13" t="str">
        <f>IFERROR(__xludf.DUMMYFUNCTION("IF(REGEXMATCH($B131,L$1),$D131,"""")"),"Undead Spirit")</f>
        <v>Undead Spirit</v>
      </c>
      <c r="M131" s="13" t="str">
        <f>IFERROR(__xludf.DUMMYFUNCTION("IF(REGEXMATCH($B131,M$1),$D131,"""")"),"")</f>
        <v/>
      </c>
      <c r="N131" s="13" t="str">
        <f>IFERROR(__xludf.DUMMYFUNCTION("IF(REGEXMATCH($B131,N$1),$D131,"""")"),"Undead Spirit")</f>
        <v>Undead Spirit</v>
      </c>
      <c r="O131" s="13" t="str">
        <f>IFERROR(__xludf.DUMMYFUNCTION("IF(REGEXMATCH($B131,O$1),$D131,"""")"),"")</f>
        <v/>
      </c>
      <c r="P131" s="13" t="str">
        <f>IFERROR(__xludf.DUMMYFUNCTION("IF(REGEXMATCH($B131,P$1),$D131,"""")"),"")</f>
        <v/>
      </c>
      <c r="Q131" s="13">
        <f>IFERROR(__xludf.DUMMYFUNCTION("IF($A131="""","""",LEN(REGEXREPLACE($I131,"",\s?"","""")))"),5.0)</f>
        <v>5</v>
      </c>
      <c r="S131" s="13"/>
      <c r="T131" s="13"/>
      <c r="U131" s="13"/>
      <c r="V131" s="13"/>
      <c r="W131" s="13"/>
      <c r="X131" s="13"/>
      <c r="Y131" s="13"/>
      <c r="Z131" s="13"/>
      <c r="AA131" s="13"/>
      <c r="AB131" s="13"/>
    </row>
    <row r="132">
      <c r="A132" s="10" t="s">
        <v>703</v>
      </c>
      <c r="B132" s="42" t="s">
        <v>11</v>
      </c>
      <c r="C132" s="11">
        <v>1.0</v>
      </c>
      <c r="D132" s="11" t="s">
        <v>317</v>
      </c>
      <c r="E132" s="10" t="s">
        <v>704</v>
      </c>
      <c r="F132" s="10" t="str">
        <f>IFERROR(__xludf.DUMMYFUNCTION("IF(REGEXMATCH($E132,""Wizard""),""Wizard "","""")&amp;IF(REGEXMATCH($E132,""Construct""),""Construct "","""")&amp;IF(REGEXMATCH($E132,""Insect""),""Insect "","""")&amp;IF(REGEXMATCH($E132,""Dragon""),""Dragon "","""")&amp;IF(REGEXMATCH($E132,""Human""),""Human "","""")&amp;I"&amp;"F(REGEXMATCH($E132,""Hunter""),""Hunter "","""")&amp;IF(REGEXMATCH($E132,""Animal""),""Animal "","""")&amp;IF(REGEXMATCH($E132,""Undead""),""Undead "","""")&amp;IF(REGEXMATCH($E132,""Plant""),""Plant "","""")&amp;IF(REGEXMATCH($E132,""Dinosaur""),""Dinosaur "","""")&amp;IF(R"&amp;"EGEXMATCH($E132,""Warrior""),""Warrior "","""")&amp;IF(REGEXMATCH($E132,""Spirit""),""Spirit "","""")&amp;IF(REGEXMATCH($E132,""Angel""),""Angel "","""")&amp;IF(REGEXMATCH($E132,""Demon""),""Demon "","""")&amp;IF(REGEXMATCH($E132,""Divine""),""Divine "","""")&amp;IF(REGEXMAT"&amp;"CH($E132,""Elemental""),""Elemental "","""")&amp;IF(REGEXMATCH($E132,""Nature""),""Nature "","""")&amp;IF(REGEXMATCH($E132,""Mortal""),""Mortal "","""")&amp;IF(REGEXMATCH($E132,""Void""),""Void "","""")&amp;IF(REGEXMATCH($E132,""Unearth|Ambush|Ritual|unearth|ambush|ritua"&amp;"l""),""Unearth "","""")&amp;IF(REGEXMATCH($E132,""Unleash|Crystallize|all realms|Crystalborn|crystallize""),""Ramp "","""")&amp;IF(REGEXMATCH($E132,""Demon""),""Demon "","""")&amp;IF(REGEXMATCH($E132,""bury|buries|Bury|Buries|Cleanse|puts a Unit|trail|Trail""),""Cont"&amp;"rol "","""")&amp;IF(REGEXMATCH($E132,""Bounce|Return|Copy|bounce|return|copy""),""Copy "","""")&amp;IF(REGEXMATCH($E132,""conquer|Conquer|leading in lanes|lead by""),""Aggro "","""")&amp;IF(REGEXMATCH($E132,""Ascend|ascend""),""Ascend "","""")&amp;IF(REGEXMATCH($E132,""B"&amp;"ury .+ Crystal|.*crystal.*bury""),""Empty-Crystal"","""")&amp;IF(REGEXMATCH($E132,""Move|move""),""Move"","""")"),"")</f>
        <v/>
      </c>
      <c r="G132" s="12" t="s">
        <v>705</v>
      </c>
      <c r="H132" s="11">
        <v>3.0</v>
      </c>
      <c r="I132" s="11" t="s">
        <v>392</v>
      </c>
      <c r="J132" s="18" t="s">
        <v>42</v>
      </c>
      <c r="L132" s="13" t="str">
        <f>IFERROR(__xludf.DUMMYFUNCTION("IF(REGEXMATCH($B132,L$1),$D132,"""")"),"Spirit")</f>
        <v>Spirit</v>
      </c>
      <c r="M132" s="13" t="str">
        <f>IFERROR(__xludf.DUMMYFUNCTION("IF(REGEXMATCH($B132,M$1),$D132,"""")"),"")</f>
        <v/>
      </c>
      <c r="N132" s="13" t="str">
        <f>IFERROR(__xludf.DUMMYFUNCTION("IF(REGEXMATCH($B132,N$1),$D132,"""")"),"")</f>
        <v/>
      </c>
      <c r="O132" s="13" t="str">
        <f>IFERROR(__xludf.DUMMYFUNCTION("IF(REGEXMATCH($B132,O$1),$D132,"""")"),"")</f>
        <v/>
      </c>
      <c r="P132" s="13" t="str">
        <f>IFERROR(__xludf.DUMMYFUNCTION("IF(REGEXMATCH($B132,P$1),$D132,"""")"),"")</f>
        <v/>
      </c>
      <c r="Q132" s="13">
        <f>IFERROR(__xludf.DUMMYFUNCTION("IF($A132="""","""",LEN(REGEXREPLACE($I132,"",\s?"","""")))"),4.0)</f>
        <v>4</v>
      </c>
      <c r="S132" s="13"/>
      <c r="T132" s="13"/>
      <c r="U132" s="13"/>
      <c r="V132" s="13"/>
      <c r="W132" s="13"/>
      <c r="X132" s="13"/>
      <c r="Y132" s="13"/>
      <c r="Z132" s="13"/>
      <c r="AA132" s="13"/>
      <c r="AB132" s="13"/>
    </row>
    <row r="133" hidden="1">
      <c r="A133" s="10" t="s">
        <v>706</v>
      </c>
      <c r="B133" s="42" t="s">
        <v>694</v>
      </c>
      <c r="C133" s="18">
        <v>2.0</v>
      </c>
      <c r="D133" s="11" t="s">
        <v>707</v>
      </c>
      <c r="E133" s="10" t="s">
        <v>708</v>
      </c>
      <c r="F133" s="10" t="str">
        <f>IFERROR(__xludf.DUMMYFUNCTION("IF(REGEXMATCH($E133,""Wizard""),""Wizard "","""")&amp;IF(REGEXMATCH($E133,""Construct""),""Construct "","""")&amp;IF(REGEXMATCH($E133,""Insect""),""Insect "","""")&amp;IF(REGEXMATCH($E133,""Dragon""),""Dragon "","""")&amp;IF(REGEXMATCH($E133,""Human""),""Human "","""")&amp;I"&amp;"F(REGEXMATCH($E133,""Hunter""),""Hunter "","""")&amp;IF(REGEXMATCH($E133,""Animal""),""Animal "","""")&amp;IF(REGEXMATCH($E133,""Undead""),""Undead "","""")&amp;IF(REGEXMATCH($E133,""Plant""),""Plant "","""")&amp;IF(REGEXMATCH($E133,""Dinosaur""),""Dinosaur "","""")&amp;IF(R"&amp;"EGEXMATCH($E133,""Warrior""),""Warrior "","""")&amp;IF(REGEXMATCH($E133,""Spirit""),""Spirit "","""")&amp;IF(REGEXMATCH($E133,""Angel""),""Angel "","""")&amp;IF(REGEXMATCH($E133,""Demon""),""Demon "","""")&amp;IF(REGEXMATCH($E133,""Divine""),""Divine "","""")&amp;IF(REGEXMAT"&amp;"CH($E133,""Elemental""),""Elemental "","""")&amp;IF(REGEXMATCH($E133,""Nature""),""Nature "","""")&amp;IF(REGEXMATCH($E133,""Mortal""),""Mortal "","""")&amp;IF(REGEXMATCH($E133,""Void""),""Void "","""")&amp;IF(REGEXMATCH($E133,""Unearth|Ambush|Ritual|unearth|ambush|ritua"&amp;"l""),""Unearth "","""")&amp;IF(REGEXMATCH($E133,""Unleash|Crystallize|all realms|Crystalborn|crystallize""),""Ramp "","""")&amp;IF(REGEXMATCH($E133,""Demon""),""Demon "","""")&amp;IF(REGEXMATCH($E133,""bury|buries|Bury|Buries|Cleanse|puts a Unit|trail|Trail""),""Cont"&amp;"rol "","""")&amp;IF(REGEXMATCH($E133,""Bounce|Return|Copy|bounce|return|copy""),""Copy "","""")&amp;IF(REGEXMATCH($E133,""conquer|Conquer|leading in lanes|lead by""),""Aggro "","""")&amp;IF(REGEXMATCH($E133,""Ascend|ascend""),""Ascend "","""")&amp;IF(REGEXMATCH($E133,""B"&amp;"ury .+ Crystal|.*crystal.*bury""),""Empty-Crystal"","""")&amp;IF(REGEXMATCH($E133,""Move|move""),""Move"","""")"),"")</f>
        <v/>
      </c>
      <c r="G133" s="12" t="s">
        <v>709</v>
      </c>
      <c r="H133" s="11">
        <v>4.0</v>
      </c>
      <c r="I133" s="11" t="s">
        <v>702</v>
      </c>
      <c r="J133" s="11" t="s">
        <v>50</v>
      </c>
      <c r="L133" s="13" t="str">
        <f>IFERROR(__xludf.DUMMYFUNCTION("IF(REGEXMATCH($B133,L$1),$D133,"""")"),"Animal Demon")</f>
        <v>Animal Demon</v>
      </c>
      <c r="M133" s="13" t="str">
        <f>IFERROR(__xludf.DUMMYFUNCTION("IF(REGEXMATCH($B133,M$1),$D133,"""")"),"")</f>
        <v/>
      </c>
      <c r="N133" s="13" t="str">
        <f>IFERROR(__xludf.DUMMYFUNCTION("IF(REGEXMATCH($B133,N$1),$D133,"""")"),"Animal Demon")</f>
        <v>Animal Demon</v>
      </c>
      <c r="O133" s="13" t="str">
        <f>IFERROR(__xludf.DUMMYFUNCTION("IF(REGEXMATCH($B133,O$1),$D133,"""")"),"")</f>
        <v/>
      </c>
      <c r="P133" s="13" t="str">
        <f>IFERROR(__xludf.DUMMYFUNCTION("IF(REGEXMATCH($B133,P$1),$D133,"""")"),"")</f>
        <v/>
      </c>
      <c r="Q133" s="13">
        <f>IFERROR(__xludf.DUMMYFUNCTION("IF($A133="""","""",LEN(REGEXREPLACE($I133,"",\s?"","""")))"),5.0)</f>
        <v>5</v>
      </c>
      <c r="S133" s="13"/>
      <c r="T133" s="13"/>
      <c r="U133" s="13"/>
      <c r="V133" s="13"/>
      <c r="W133" s="13"/>
      <c r="X133" s="13"/>
      <c r="Y133" s="13"/>
      <c r="Z133" s="13"/>
      <c r="AA133" s="13"/>
      <c r="AB133" s="13"/>
    </row>
    <row r="134">
      <c r="A134" s="10" t="s">
        <v>710</v>
      </c>
      <c r="B134" s="42" t="s">
        <v>11</v>
      </c>
      <c r="C134" s="11">
        <v>1.0</v>
      </c>
      <c r="D134" s="11" t="s">
        <v>317</v>
      </c>
      <c r="E134" s="10" t="s">
        <v>711</v>
      </c>
      <c r="F134" s="10" t="str">
        <f>IFERROR(__xludf.DUMMYFUNCTION("IF(REGEXMATCH($E134,""Wizard""),""Wizard "","""")&amp;IF(REGEXMATCH($E134,""Construct""),""Construct "","""")&amp;IF(REGEXMATCH($E134,""Insect""),""Insect "","""")&amp;IF(REGEXMATCH($E134,""Dragon""),""Dragon "","""")&amp;IF(REGEXMATCH($E134,""Human""),""Human "","""")&amp;I"&amp;"F(REGEXMATCH($E134,""Hunter""),""Hunter "","""")&amp;IF(REGEXMATCH($E134,""Animal""),""Animal "","""")&amp;IF(REGEXMATCH($E134,""Undead""),""Undead "","""")&amp;IF(REGEXMATCH($E134,""Plant""),""Plant "","""")&amp;IF(REGEXMATCH($E134,""Dinosaur""),""Dinosaur "","""")&amp;IF(R"&amp;"EGEXMATCH($E134,""Warrior""),""Warrior "","""")&amp;IF(REGEXMATCH($E134,""Spirit""),""Spirit "","""")&amp;IF(REGEXMATCH($E134,""Angel""),""Angel "","""")&amp;IF(REGEXMATCH($E134,""Demon""),""Demon "","""")&amp;IF(REGEXMATCH($E134,""Divine""),""Divine "","""")&amp;IF(REGEXMAT"&amp;"CH($E134,""Elemental""),""Elemental "","""")&amp;IF(REGEXMATCH($E134,""Nature""),""Nature "","""")&amp;IF(REGEXMATCH($E134,""Mortal""),""Mortal "","""")&amp;IF(REGEXMATCH($E134,""Void""),""Void "","""")&amp;IF(REGEXMATCH($E134,""Unearth|Ambush|Ritual|unearth|ambush|ritua"&amp;"l""),""Unearth "","""")&amp;IF(REGEXMATCH($E134,""Unleash|Crystallize|all realms|Crystalborn|crystallize""),""Ramp "","""")&amp;IF(REGEXMATCH($E134,""Demon""),""Demon "","""")&amp;IF(REGEXMATCH($E134,""bury|buries|Bury|Buries|Cleanse|puts a Unit|trail|Trail""),""Cont"&amp;"rol "","""")&amp;IF(REGEXMATCH($E134,""Bounce|Return|Copy|bounce|return|copy""),""Copy "","""")&amp;IF(REGEXMATCH($E134,""conquer|Conquer|leading in lanes|lead by""),""Aggro "","""")&amp;IF(REGEXMATCH($E134,""Ascend|ascend""),""Ascend "","""")&amp;IF(REGEXMATCH($E134,""B"&amp;"ury .+ Crystal|.*crystal.*bury""),""Empty-Crystal"","""")&amp;IF(REGEXMATCH($E134,""Move|move""),""Move"","""")"),"")</f>
        <v/>
      </c>
      <c r="G134" s="12" t="s">
        <v>712</v>
      </c>
      <c r="H134" s="11">
        <v>5.0</v>
      </c>
      <c r="I134" s="11" t="s">
        <v>545</v>
      </c>
      <c r="J134" s="11" t="s">
        <v>33</v>
      </c>
      <c r="L134" s="13" t="str">
        <f>IFERROR(__xludf.DUMMYFUNCTION("IF(REGEXMATCH($B134,L$1),$D134,"""")"),"Spirit")</f>
        <v>Spirit</v>
      </c>
      <c r="M134" s="13" t="str">
        <f>IFERROR(__xludf.DUMMYFUNCTION("IF(REGEXMATCH($B134,M$1),$D134,"""")"),"")</f>
        <v/>
      </c>
      <c r="N134" s="13" t="str">
        <f>IFERROR(__xludf.DUMMYFUNCTION("IF(REGEXMATCH($B134,N$1),$D134,"""")"),"")</f>
        <v/>
      </c>
      <c r="O134" s="13" t="str">
        <f>IFERROR(__xludf.DUMMYFUNCTION("IF(REGEXMATCH($B134,O$1),$D134,"""")"),"")</f>
        <v/>
      </c>
      <c r="P134" s="13" t="str">
        <f>IFERROR(__xludf.DUMMYFUNCTION("IF(REGEXMATCH($B134,P$1),$D134,"""")"),"")</f>
        <v/>
      </c>
      <c r="Q134" s="13">
        <f>IFERROR(__xludf.DUMMYFUNCTION("IF($A134="""","""",LEN(REGEXREPLACE($I134,"",\s?"","""")))"),6.0)</f>
        <v>6</v>
      </c>
      <c r="S134" s="13"/>
      <c r="T134" s="13"/>
      <c r="U134" s="13"/>
      <c r="V134" s="13"/>
      <c r="W134" s="13"/>
      <c r="X134" s="13"/>
      <c r="Y134" s="13"/>
      <c r="Z134" s="13"/>
      <c r="AA134" s="13"/>
      <c r="AB134" s="13"/>
    </row>
    <row r="135">
      <c r="A135" s="19" t="s">
        <v>713</v>
      </c>
      <c r="B135" s="64" t="s">
        <v>11</v>
      </c>
      <c r="C135" s="18">
        <v>1.0</v>
      </c>
      <c r="D135" s="18" t="s">
        <v>317</v>
      </c>
      <c r="E135" s="19" t="s">
        <v>714</v>
      </c>
      <c r="F135" s="10" t="str">
        <f>IFERROR(__xludf.DUMMYFUNCTION("IF(REGEXMATCH($E135,""Wizard""),""Wizard "","""")&amp;IF(REGEXMATCH($E135,""Construct""),""Construct "","""")&amp;IF(REGEXMATCH($E135,""Insect""),""Insect "","""")&amp;IF(REGEXMATCH($E135,""Dragon""),""Dragon "","""")&amp;IF(REGEXMATCH($E135,""Human""),""Human "","""")&amp;I"&amp;"F(REGEXMATCH($E135,""Hunter""),""Hunter "","""")&amp;IF(REGEXMATCH($E135,""Animal""),""Animal "","""")&amp;IF(REGEXMATCH($E135,""Undead""),""Undead "","""")&amp;IF(REGEXMATCH($E135,""Plant""),""Plant "","""")&amp;IF(REGEXMATCH($E135,""Dinosaur""),""Dinosaur "","""")&amp;IF(R"&amp;"EGEXMATCH($E135,""Warrior""),""Warrior "","""")&amp;IF(REGEXMATCH($E135,""Spirit""),""Spirit "","""")&amp;IF(REGEXMATCH($E135,""Angel""),""Angel "","""")&amp;IF(REGEXMATCH($E135,""Demon""),""Demon "","""")&amp;IF(REGEXMATCH($E135,""Divine""),""Divine "","""")&amp;IF(REGEXMAT"&amp;"CH($E135,""Elemental""),""Elemental "","""")&amp;IF(REGEXMATCH($E135,""Nature""),""Nature "","""")&amp;IF(REGEXMATCH($E135,""Mortal""),""Mortal "","""")&amp;IF(REGEXMATCH($E135,""Void""),""Void "","""")&amp;IF(REGEXMATCH($E135,""Unearth|Ambush|Ritual|unearth|ambush|ritua"&amp;"l""),""Unearth "","""")&amp;IF(REGEXMATCH($E135,""Unleash|Crystallize|all realms|Crystalborn|crystallize""),""Ramp "","""")&amp;IF(REGEXMATCH($E135,""Demon""),""Demon "","""")&amp;IF(REGEXMATCH($E135,""bury|buries|Bury|Buries|Cleanse|puts a Unit|trail|Trail""),""Cont"&amp;"rol "","""")&amp;IF(REGEXMATCH($E135,""Bounce|Return|Copy|bounce|return|copy""),""Copy "","""")&amp;IF(REGEXMATCH($E135,""conquer|Conquer|leading in lanes|lead by""),""Aggro "","""")&amp;IF(REGEXMATCH($E135,""Ascend|ascend""),""Ascend "","""")&amp;IF(REGEXMATCH($E135,""B"&amp;"ury .+ Crystal|.*crystal.*bury""),""Empty-Crystal"","""")&amp;IF(REGEXMATCH($E135,""Move|move""),""Move"","""")"),"Ramp Move")</f>
        <v>Ramp Move</v>
      </c>
      <c r="G135" s="20" t="s">
        <v>304</v>
      </c>
      <c r="H135" s="18">
        <v>3.0</v>
      </c>
      <c r="I135" s="18" t="s">
        <v>535</v>
      </c>
      <c r="J135" s="18" t="s">
        <v>50</v>
      </c>
      <c r="L135" s="13" t="str">
        <f>IFERROR(__xludf.DUMMYFUNCTION("IF(REGEXMATCH($B135,L$1),$D135,"""")"),"Spirit")</f>
        <v>Spirit</v>
      </c>
      <c r="M135" s="13" t="str">
        <f>IFERROR(__xludf.DUMMYFUNCTION("IF(REGEXMATCH($B135,M$1),$D135,"""")"),"")</f>
        <v/>
      </c>
      <c r="N135" s="13" t="str">
        <f>IFERROR(__xludf.DUMMYFUNCTION("IF(REGEXMATCH($B135,N$1),$D135,"""")"),"")</f>
        <v/>
      </c>
      <c r="O135" s="13" t="str">
        <f>IFERROR(__xludf.DUMMYFUNCTION("IF(REGEXMATCH($B135,O$1),$D135,"""")"),"")</f>
        <v/>
      </c>
      <c r="P135" s="13" t="str">
        <f>IFERROR(__xludf.DUMMYFUNCTION("IF(REGEXMATCH($B135,P$1),$D135,"""")"),"")</f>
        <v/>
      </c>
      <c r="Q135" s="13">
        <f>IFERROR(__xludf.DUMMYFUNCTION("IF($A135="""","""",LEN(REGEXREPLACE($I135,"",\s?"","""")))"),4.0)</f>
        <v>4</v>
      </c>
      <c r="S135" s="13"/>
      <c r="T135" s="13"/>
      <c r="U135" s="13"/>
      <c r="V135" s="13"/>
      <c r="W135" s="13"/>
      <c r="X135" s="13"/>
      <c r="Y135" s="13"/>
      <c r="Z135" s="13"/>
      <c r="AA135" s="13"/>
      <c r="AB135" s="13"/>
    </row>
    <row r="136">
      <c r="A136" s="19" t="s">
        <v>715</v>
      </c>
      <c r="B136" s="64" t="s">
        <v>11</v>
      </c>
      <c r="C136" s="18">
        <v>1.0</v>
      </c>
      <c r="D136" s="18" t="s">
        <v>317</v>
      </c>
      <c r="E136" s="19" t="s">
        <v>716</v>
      </c>
      <c r="F136" s="10" t="str">
        <f>IFERROR(__xludf.DUMMYFUNCTION("IF(REGEXMATCH($E136,""Wizard""),""Wizard "","""")&amp;IF(REGEXMATCH($E136,""Construct""),""Construct "","""")&amp;IF(REGEXMATCH($E136,""Insect""),""Insect "","""")&amp;IF(REGEXMATCH($E136,""Dragon""),""Dragon "","""")&amp;IF(REGEXMATCH($E136,""Human""),""Human "","""")&amp;I"&amp;"F(REGEXMATCH($E136,""Hunter""),""Hunter "","""")&amp;IF(REGEXMATCH($E136,""Animal""),""Animal "","""")&amp;IF(REGEXMATCH($E136,""Undead""),""Undead "","""")&amp;IF(REGEXMATCH($E136,""Plant""),""Plant "","""")&amp;IF(REGEXMATCH($E136,""Dinosaur""),""Dinosaur "","""")&amp;IF(R"&amp;"EGEXMATCH($E136,""Warrior""),""Warrior "","""")&amp;IF(REGEXMATCH($E136,""Spirit""),""Spirit "","""")&amp;IF(REGEXMATCH($E136,""Angel""),""Angel "","""")&amp;IF(REGEXMATCH($E136,""Demon""),""Demon "","""")&amp;IF(REGEXMATCH($E136,""Divine""),""Divine "","""")&amp;IF(REGEXMAT"&amp;"CH($E136,""Elemental""),""Elemental "","""")&amp;IF(REGEXMATCH($E136,""Nature""),""Nature "","""")&amp;IF(REGEXMATCH($E136,""Mortal""),""Mortal "","""")&amp;IF(REGEXMATCH($E136,""Void""),""Void "","""")&amp;IF(REGEXMATCH($E136,""Unearth|Ambush|Ritual|unearth|ambush|ritua"&amp;"l""),""Unearth "","""")&amp;IF(REGEXMATCH($E136,""Unleash|Crystallize|all realms|Crystalborn|crystallize""),""Ramp "","""")&amp;IF(REGEXMATCH($E136,""Demon""),""Demon "","""")&amp;IF(REGEXMATCH($E136,""bury|buries|Bury|Buries|Cleanse|puts a Unit|trail|Trail""),""Cont"&amp;"rol "","""")&amp;IF(REGEXMATCH($E136,""Bounce|Return|Copy|bounce|return|copy""),""Copy "","""")&amp;IF(REGEXMATCH($E136,""conquer|Conquer|leading in lanes|lead by""),""Aggro "","""")&amp;IF(REGEXMATCH($E136,""Ascend|ascend""),""Ascend "","""")&amp;IF(REGEXMATCH($E136,""B"&amp;"ury .+ Crystal|.*crystal.*bury""),""Empty-Crystal"","""")&amp;IF(REGEXMATCH($E136,""Move|move""),""Move"","""")"),"Unearth Move")</f>
        <v>Unearth Move</v>
      </c>
      <c r="G136" s="56"/>
      <c r="H136" s="18">
        <v>3.0</v>
      </c>
      <c r="I136" s="18" t="s">
        <v>535</v>
      </c>
      <c r="J136" s="18" t="s">
        <v>42</v>
      </c>
      <c r="L136" s="13" t="str">
        <f>IFERROR(__xludf.DUMMYFUNCTION("IF(REGEXMATCH($B136,L$1),$D136,"""")"),"Spirit")</f>
        <v>Spirit</v>
      </c>
      <c r="M136" s="13" t="str">
        <f>IFERROR(__xludf.DUMMYFUNCTION("IF(REGEXMATCH($B136,M$1),$D136,"""")"),"")</f>
        <v/>
      </c>
      <c r="N136" s="13" t="str">
        <f>IFERROR(__xludf.DUMMYFUNCTION("IF(REGEXMATCH($B136,N$1),$D136,"""")"),"")</f>
        <v/>
      </c>
      <c r="O136" s="13" t="str">
        <f>IFERROR(__xludf.DUMMYFUNCTION("IF(REGEXMATCH($B136,O$1),$D136,"""")"),"")</f>
        <v/>
      </c>
      <c r="P136" s="13" t="str">
        <f>IFERROR(__xludf.DUMMYFUNCTION("IF(REGEXMATCH($B136,P$1),$D136,"""")"),"")</f>
        <v/>
      </c>
      <c r="Q136" s="13">
        <f>IFERROR(__xludf.DUMMYFUNCTION("IF($A136="""","""",LEN(REGEXREPLACE($I136,"",\s?"","""")))"),4.0)</f>
        <v>4</v>
      </c>
      <c r="S136" s="13"/>
      <c r="T136" s="13"/>
      <c r="U136" s="13"/>
      <c r="V136" s="13"/>
      <c r="W136" s="13"/>
      <c r="X136" s="13"/>
      <c r="Y136" s="13"/>
      <c r="Z136" s="13"/>
      <c r="AA136" s="13"/>
      <c r="AB136" s="13"/>
    </row>
    <row r="137">
      <c r="A137" s="13" t="s">
        <v>717</v>
      </c>
      <c r="B137" s="42" t="s">
        <v>11</v>
      </c>
      <c r="C137" s="11">
        <v>1.0</v>
      </c>
      <c r="D137" s="21" t="s">
        <v>317</v>
      </c>
      <c r="F137" s="10" t="str">
        <f>IFERROR(__xludf.DUMMYFUNCTION("IF(REGEXMATCH($E137,""Wizard""),""Wizard "","""")&amp;IF(REGEXMATCH($E137,""Construct""),""Construct "","""")&amp;IF(REGEXMATCH($E137,""Insect""),""Insect "","""")&amp;IF(REGEXMATCH($E137,""Dragon""),""Dragon "","""")&amp;IF(REGEXMATCH($E137,""Human""),""Human "","""")&amp;I"&amp;"F(REGEXMATCH($E137,""Hunter""),""Hunter "","""")&amp;IF(REGEXMATCH($E137,""Animal""),""Animal "","""")&amp;IF(REGEXMATCH($E137,""Undead""),""Undead "","""")&amp;IF(REGEXMATCH($E137,""Plant""),""Plant "","""")&amp;IF(REGEXMATCH($E137,""Dinosaur""),""Dinosaur "","""")&amp;IF(R"&amp;"EGEXMATCH($E137,""Warrior""),""Warrior "","""")&amp;IF(REGEXMATCH($E137,""Spirit""),""Spirit "","""")&amp;IF(REGEXMATCH($E137,""Angel""),""Angel "","""")&amp;IF(REGEXMATCH($E137,""Demon""),""Demon "","""")&amp;IF(REGEXMATCH($E137,""Divine""),""Divine "","""")&amp;IF(REGEXMAT"&amp;"CH($E137,""Elemental""),""Elemental "","""")&amp;IF(REGEXMATCH($E137,""Nature""),""Nature "","""")&amp;IF(REGEXMATCH($E137,""Mortal""),""Mortal "","""")&amp;IF(REGEXMATCH($E137,""Void""),""Void "","""")&amp;IF(REGEXMATCH($E137,""Unearth|Ambush|Ritual|unearth|ambush|ritua"&amp;"l""),""Unearth "","""")&amp;IF(REGEXMATCH($E137,""Unleash|Crystallize|all realms|Crystalborn|crystallize""),""Ramp "","""")&amp;IF(REGEXMATCH($E137,""Demon""),""Demon "","""")&amp;IF(REGEXMATCH($E137,""bury|buries|Bury|Buries|Cleanse|puts a Unit|trail|Trail""),""Cont"&amp;"rol "","""")&amp;IF(REGEXMATCH($E137,""Bounce|Return|Copy|bounce|return|copy""),""Copy "","""")&amp;IF(REGEXMATCH($E137,""conquer|Conquer|leading in lanes|lead by""),""Aggro "","""")&amp;IF(REGEXMATCH($E137,""Ascend|ascend""),""Ascend "","""")&amp;IF(REGEXMATCH($E137,""B"&amp;"ury .+ Crystal|.*crystal.*bury""),""Empty-Crystal"","""")&amp;IF(REGEXMATCH($E137,""Move|move""),""Move"","""")"),"")</f>
        <v/>
      </c>
      <c r="G137" s="12" t="s">
        <v>718</v>
      </c>
      <c r="H137" s="21">
        <v>5.0</v>
      </c>
      <c r="I137" s="11" t="s">
        <v>392</v>
      </c>
      <c r="J137" s="21" t="s">
        <v>42</v>
      </c>
      <c r="L137" s="13" t="str">
        <f>IFERROR(__xludf.DUMMYFUNCTION("IF(REGEXMATCH($B137,L$1),$D137,"""")"),"Spirit")</f>
        <v>Spirit</v>
      </c>
      <c r="M137" s="13" t="str">
        <f>IFERROR(__xludf.DUMMYFUNCTION("IF(REGEXMATCH($B137,M$1),$D137,"""")"),"")</f>
        <v/>
      </c>
      <c r="N137" s="13" t="str">
        <f>IFERROR(__xludf.DUMMYFUNCTION("IF(REGEXMATCH($B137,N$1),$D137,"""")"),"")</f>
        <v/>
      </c>
      <c r="O137" s="13" t="str">
        <f>IFERROR(__xludf.DUMMYFUNCTION("IF(REGEXMATCH($B137,O$1),$D137,"""")"),"")</f>
        <v/>
      </c>
      <c r="P137" s="13" t="str">
        <f>IFERROR(__xludf.DUMMYFUNCTION("IF(REGEXMATCH($B137,P$1),$D137,"""")"),"")</f>
        <v/>
      </c>
      <c r="Q137" s="13">
        <f>IFERROR(__xludf.DUMMYFUNCTION("IF($A137="""","""",LEN(REGEXREPLACE($I137,"",\s?"","""")))"),4.0)</f>
        <v>4</v>
      </c>
      <c r="S137" s="13"/>
      <c r="T137" s="13"/>
      <c r="U137" s="13"/>
      <c r="V137" s="13"/>
      <c r="W137" s="13"/>
      <c r="X137" s="13"/>
      <c r="Y137" s="13"/>
      <c r="Z137" s="13"/>
      <c r="AA137" s="13"/>
      <c r="AB137" s="13"/>
    </row>
    <row r="138" hidden="1">
      <c r="A138" s="10" t="s">
        <v>719</v>
      </c>
      <c r="B138" s="42" t="s">
        <v>694</v>
      </c>
      <c r="C138" s="11">
        <v>0.0</v>
      </c>
      <c r="D138" s="11" t="s">
        <v>474</v>
      </c>
      <c r="E138" s="10" t="s">
        <v>720</v>
      </c>
      <c r="F138" s="10" t="str">
        <f>IFERROR(__xludf.DUMMYFUNCTION("IF(REGEXMATCH($E138,""Wizard""),""Wizard "","""")&amp;IF(REGEXMATCH($E138,""Construct""),""Construct "","""")&amp;IF(REGEXMATCH($E138,""Insect""),""Insect "","""")&amp;IF(REGEXMATCH($E138,""Dragon""),""Dragon "","""")&amp;IF(REGEXMATCH($E138,""Human""),""Human "","""")&amp;I"&amp;"F(REGEXMATCH($E138,""Hunter""),""Hunter "","""")&amp;IF(REGEXMATCH($E138,""Animal""),""Animal "","""")&amp;IF(REGEXMATCH($E138,""Undead""),""Undead "","""")&amp;IF(REGEXMATCH($E138,""Plant""),""Plant "","""")&amp;IF(REGEXMATCH($E138,""Dinosaur""),""Dinosaur "","""")&amp;IF(R"&amp;"EGEXMATCH($E138,""Warrior""),""Warrior "","""")&amp;IF(REGEXMATCH($E138,""Spirit""),""Spirit "","""")&amp;IF(REGEXMATCH($E138,""Angel""),""Angel "","""")&amp;IF(REGEXMATCH($E138,""Demon""),""Demon "","""")&amp;IF(REGEXMATCH($E138,""Divine""),""Divine "","""")&amp;IF(REGEXMAT"&amp;"CH($E138,""Elemental""),""Elemental "","""")&amp;IF(REGEXMATCH($E138,""Nature""),""Nature "","""")&amp;IF(REGEXMATCH($E138,""Mortal""),""Mortal "","""")&amp;IF(REGEXMATCH($E138,""Void""),""Void "","""")&amp;IF(REGEXMATCH($E138,""Unearth|Ambush|Ritual|unearth|ambush|ritua"&amp;"l""),""Unearth "","""")&amp;IF(REGEXMATCH($E138,""Unleash|Crystallize|all realms|Crystalborn|crystallize""),""Ramp "","""")&amp;IF(REGEXMATCH($E138,""Demon""),""Demon "","""")&amp;IF(REGEXMATCH($E138,""bury|buries|Bury|Buries|Cleanse|puts a Unit|trail|Trail""),""Cont"&amp;"rol "","""")&amp;IF(REGEXMATCH($E138,""Bounce|Return|Copy|bounce|return|copy""),""Copy "","""")&amp;IF(REGEXMATCH($E138,""conquer|Conquer|leading in lanes|lead by""),""Aggro "","""")&amp;IF(REGEXMATCH($E138,""Ascend|ascend""),""Ascend "","""")&amp;IF(REGEXMATCH($E138,""B"&amp;"ury .+ Crystal|.*crystal.*bury""),""Empty-Crystal"","""")&amp;IF(REGEXMATCH($E138,""Move|move""),""Move"","""")"),"Unearth Control Empty-Crystal")</f>
        <v>Unearth Control Empty-Crystal</v>
      </c>
      <c r="G138" s="39" t="s">
        <v>721</v>
      </c>
      <c r="H138" s="11">
        <v>7.0</v>
      </c>
      <c r="I138" s="11" t="s">
        <v>722</v>
      </c>
      <c r="J138" s="11" t="s">
        <v>50</v>
      </c>
      <c r="L138" s="13" t="str">
        <f>IFERROR(__xludf.DUMMYFUNCTION("IF(REGEXMATCH($B138,L$1),$D138,"""")"),"Demon Spirit")</f>
        <v>Demon Spirit</v>
      </c>
      <c r="M138" s="13" t="str">
        <f>IFERROR(__xludf.DUMMYFUNCTION("IF(REGEXMATCH($B138,M$1),$D138,"""")"),"")</f>
        <v/>
      </c>
      <c r="N138" s="13" t="str">
        <f>IFERROR(__xludf.DUMMYFUNCTION("IF(REGEXMATCH($B138,N$1),$D138,"""")"),"Demon Spirit")</f>
        <v>Demon Spirit</v>
      </c>
      <c r="O138" s="13" t="str">
        <f>IFERROR(__xludf.DUMMYFUNCTION("IF(REGEXMATCH($B138,O$1),$D138,"""")"),"")</f>
        <v/>
      </c>
      <c r="P138" s="13" t="str">
        <f>IFERROR(__xludf.DUMMYFUNCTION("IF(REGEXMATCH($B138,P$1),$D138,"""")"),"")</f>
        <v/>
      </c>
      <c r="Q138" s="13">
        <f>IFERROR(__xludf.DUMMYFUNCTION("IF($A138="""","""",LEN(REGEXREPLACE($I138,"",\s?"","""")))"),6.0)</f>
        <v>6</v>
      </c>
      <c r="S138" s="13"/>
      <c r="T138" s="13"/>
      <c r="U138" s="13"/>
      <c r="V138" s="13"/>
      <c r="W138" s="13"/>
      <c r="X138" s="13"/>
      <c r="Y138" s="13"/>
      <c r="Z138" s="13"/>
      <c r="AA138" s="13"/>
      <c r="AB138" s="13"/>
    </row>
    <row r="139" hidden="1">
      <c r="A139" s="22" t="s">
        <v>723</v>
      </c>
      <c r="B139" s="42" t="s">
        <v>694</v>
      </c>
      <c r="C139" s="11">
        <v>2.0</v>
      </c>
      <c r="D139" s="11" t="s">
        <v>724</v>
      </c>
      <c r="E139" s="10" t="s">
        <v>725</v>
      </c>
      <c r="F139" s="10" t="str">
        <f>IFERROR(__xludf.DUMMYFUNCTION("IF(REGEXMATCH($E139,""Wizard""),""Wizard "","""")&amp;IF(REGEXMATCH($E139,""Construct""),""Construct "","""")&amp;IF(REGEXMATCH($E139,""Insect""),""Insect "","""")&amp;IF(REGEXMATCH($E139,""Dragon""),""Dragon "","""")&amp;IF(REGEXMATCH($E139,""Human""),""Human "","""")&amp;I"&amp;"F(REGEXMATCH($E139,""Hunter""),""Hunter "","""")&amp;IF(REGEXMATCH($E139,""Animal""),""Animal "","""")&amp;IF(REGEXMATCH($E139,""Undead""),""Undead "","""")&amp;IF(REGEXMATCH($E139,""Plant""),""Plant "","""")&amp;IF(REGEXMATCH($E139,""Dinosaur""),""Dinosaur "","""")&amp;IF(R"&amp;"EGEXMATCH($E139,""Warrior""),""Warrior "","""")&amp;IF(REGEXMATCH($E139,""Spirit""),""Spirit "","""")&amp;IF(REGEXMATCH($E139,""Angel""),""Angel "","""")&amp;IF(REGEXMATCH($E139,""Demon""),""Demon "","""")&amp;IF(REGEXMATCH($E139,""Divine""),""Divine "","""")&amp;IF(REGEXMAT"&amp;"CH($E139,""Elemental""),""Elemental "","""")&amp;IF(REGEXMATCH($E139,""Nature""),""Nature "","""")&amp;IF(REGEXMATCH($E139,""Mortal""),""Mortal "","""")&amp;IF(REGEXMATCH($E139,""Void""),""Void "","""")&amp;IF(REGEXMATCH($E139,""Unearth|Ambush|Ritual|unearth|ambush|ritua"&amp;"l""),""Unearth "","""")&amp;IF(REGEXMATCH($E139,""Unleash|Crystallize|all realms|Crystalborn|crystallize""),""Ramp "","""")&amp;IF(REGEXMATCH($E139,""Demon""),""Demon "","""")&amp;IF(REGEXMATCH($E139,""bury|buries|Bury|Buries|Cleanse|puts a Unit|trail|Trail""),""Cont"&amp;"rol "","""")&amp;IF(REGEXMATCH($E139,""Bounce|Return|Copy|bounce|return|copy""),""Copy "","""")&amp;IF(REGEXMATCH($E139,""conquer|Conquer|leading in lanes|lead by""),""Aggro "","""")&amp;IF(REGEXMATCH($E139,""Ascend|ascend""),""Ascend "","""")&amp;IF(REGEXMATCH($E139,""B"&amp;"ury .+ Crystal|.*crystal.*bury""),""Empty-Crystal"","""")&amp;IF(REGEXMATCH($E139,""Move|move""),""Move"","""")"),"Aggro ")</f>
        <v>Aggro </v>
      </c>
      <c r="G139" s="12" t="s">
        <v>726</v>
      </c>
      <c r="H139" s="11">
        <v>5.0</v>
      </c>
      <c r="I139" s="11" t="s">
        <v>702</v>
      </c>
      <c r="J139" s="11" t="s">
        <v>50</v>
      </c>
      <c r="L139" s="13" t="str">
        <f>IFERROR(__xludf.DUMMYFUNCTION("IF(REGEXMATCH($B139,L$1),$D139,"""")"),"Animal Warrior")</f>
        <v>Animal Warrior</v>
      </c>
      <c r="M139" s="13" t="str">
        <f>IFERROR(__xludf.DUMMYFUNCTION("IF(REGEXMATCH($B139,M$1),$D139,"""")"),"")</f>
        <v/>
      </c>
      <c r="N139" s="13" t="str">
        <f>IFERROR(__xludf.DUMMYFUNCTION("IF(REGEXMATCH($B139,N$1),$D139,"""")"),"Animal Warrior")</f>
        <v>Animal Warrior</v>
      </c>
      <c r="O139" s="13" t="str">
        <f>IFERROR(__xludf.DUMMYFUNCTION("IF(REGEXMATCH($B139,O$1),$D139,"""")"),"")</f>
        <v/>
      </c>
      <c r="P139" s="13" t="str">
        <f>IFERROR(__xludf.DUMMYFUNCTION("IF(REGEXMATCH($B139,P$1),$D139,"""")"),"")</f>
        <v/>
      </c>
      <c r="Q139" s="13">
        <f>IFERROR(__xludf.DUMMYFUNCTION("IF($A139="""","""",LEN(REGEXREPLACE($I139,"",\s?"","""")))"),5.0)</f>
        <v>5</v>
      </c>
      <c r="S139" s="13"/>
      <c r="T139" s="13"/>
      <c r="U139" s="13"/>
      <c r="V139" s="13"/>
      <c r="W139" s="13"/>
      <c r="X139" s="13"/>
      <c r="Y139" s="13"/>
      <c r="Z139" s="13"/>
      <c r="AA139" s="13"/>
      <c r="AB139" s="13"/>
    </row>
    <row r="140">
      <c r="A140" s="29" t="s">
        <v>727</v>
      </c>
      <c r="B140" s="42" t="s">
        <v>11</v>
      </c>
      <c r="C140" s="18">
        <v>1.0</v>
      </c>
      <c r="D140" s="11" t="s">
        <v>728</v>
      </c>
      <c r="E140" s="10" t="s">
        <v>729</v>
      </c>
      <c r="F140" s="10" t="str">
        <f>IFERROR(__xludf.DUMMYFUNCTION("IF(REGEXMATCH($E140,""Wizard""),""Wizard "","""")&amp;IF(REGEXMATCH($E140,""Construct""),""Construct "","""")&amp;IF(REGEXMATCH($E140,""Insect""),""Insect "","""")&amp;IF(REGEXMATCH($E140,""Dragon""),""Dragon "","""")&amp;IF(REGEXMATCH($E140,""Human""),""Human "","""")&amp;I"&amp;"F(REGEXMATCH($E140,""Hunter""),""Hunter "","""")&amp;IF(REGEXMATCH($E140,""Animal""),""Animal "","""")&amp;IF(REGEXMATCH($E140,""Undead""),""Undead "","""")&amp;IF(REGEXMATCH($E140,""Plant""),""Plant "","""")&amp;IF(REGEXMATCH($E140,""Dinosaur""),""Dinosaur "","""")&amp;IF(R"&amp;"EGEXMATCH($E140,""Warrior""),""Warrior "","""")&amp;IF(REGEXMATCH($E140,""Spirit""),""Spirit "","""")&amp;IF(REGEXMATCH($E140,""Angel""),""Angel "","""")&amp;IF(REGEXMATCH($E140,""Demon""),""Demon "","""")&amp;IF(REGEXMATCH($E140,""Divine""),""Divine "","""")&amp;IF(REGEXMAT"&amp;"CH($E140,""Elemental""),""Elemental "","""")&amp;IF(REGEXMATCH($E140,""Nature""),""Nature "","""")&amp;IF(REGEXMATCH($E140,""Mortal""),""Mortal "","""")&amp;IF(REGEXMATCH($E140,""Void""),""Void "","""")&amp;IF(REGEXMATCH($E140,""Unearth|Ambush|Ritual|unearth|ambush|ritua"&amp;"l""),""Unearth "","""")&amp;IF(REGEXMATCH($E140,""Unleash|Crystallize|all realms|Crystalborn|crystallize""),""Ramp "","""")&amp;IF(REGEXMATCH($E140,""Demon""),""Demon "","""")&amp;IF(REGEXMATCH($E140,""bury|buries|Bury|Buries|Cleanse|puts a Unit|trail|Trail""),""Cont"&amp;"rol "","""")&amp;IF(REGEXMATCH($E140,""Bounce|Return|Copy|bounce|return|copy""),""Copy "","""")&amp;IF(REGEXMATCH($E140,""conquer|Conquer|leading in lanes|lead by""),""Aggro "","""")&amp;IF(REGEXMATCH($E140,""Ascend|ascend""),""Ascend "","""")&amp;IF(REGEXMATCH($E140,""B"&amp;"ury .+ Crystal|.*crystal.*bury""),""Empty-Crystal"","""")&amp;IF(REGEXMATCH($E140,""Move|move""),""Move"","""")"),"Ramp Copy ")</f>
        <v>Ramp Copy </v>
      </c>
      <c r="G140" s="67" t="s">
        <v>730</v>
      </c>
      <c r="H140" s="21">
        <v>7.0</v>
      </c>
      <c r="I140" s="11" t="s">
        <v>731</v>
      </c>
      <c r="J140" s="21" t="s">
        <v>33</v>
      </c>
      <c r="L140" s="13" t="str">
        <f>IFERROR(__xludf.DUMMYFUNCTION("IF(REGEXMATCH($B140,L$1),$D140,"""")"),"Spirit Dragon")</f>
        <v>Spirit Dragon</v>
      </c>
      <c r="M140" s="13" t="str">
        <f>IFERROR(__xludf.DUMMYFUNCTION("IF(REGEXMATCH($B140,M$1),$D140,"""")"),"")</f>
        <v/>
      </c>
      <c r="N140" s="13" t="str">
        <f>IFERROR(__xludf.DUMMYFUNCTION("IF(REGEXMATCH($B140,N$1),$D140,"""")"),"")</f>
        <v/>
      </c>
      <c r="O140" s="13" t="str">
        <f>IFERROR(__xludf.DUMMYFUNCTION("IF(REGEXMATCH($B140,O$1),$D140,"""")"),"")</f>
        <v/>
      </c>
      <c r="P140" s="13" t="str">
        <f>IFERROR(__xludf.DUMMYFUNCTION("IF(REGEXMATCH($B140,P$1),$D140,"""")"),"")</f>
        <v/>
      </c>
      <c r="Q140" s="13">
        <f>IFERROR(__xludf.DUMMYFUNCTION("IF($A140="""","""",LEN(REGEXREPLACE($I140,"",\s?"","""")))"),6.0)</f>
        <v>6</v>
      </c>
      <c r="S140" s="13"/>
      <c r="T140" s="13"/>
      <c r="U140" s="13"/>
      <c r="V140" s="13"/>
      <c r="W140" s="13"/>
      <c r="X140" s="13"/>
      <c r="Y140" s="13"/>
      <c r="Z140" s="13"/>
      <c r="AA140" s="13"/>
      <c r="AB140" s="13"/>
    </row>
    <row r="141">
      <c r="A141" s="22" t="s">
        <v>732</v>
      </c>
      <c r="B141" s="42" t="s">
        <v>11</v>
      </c>
      <c r="C141" s="11">
        <v>1.0</v>
      </c>
      <c r="D141" s="11" t="s">
        <v>695</v>
      </c>
      <c r="E141" s="10" t="s">
        <v>733</v>
      </c>
      <c r="F141" s="10" t="str">
        <f>IFERROR(__xludf.DUMMYFUNCTION("IF(REGEXMATCH($E141,""Wizard""),""Wizard "","""")&amp;IF(REGEXMATCH($E141,""Construct""),""Construct "","""")&amp;IF(REGEXMATCH($E141,""Insect""),""Insect "","""")&amp;IF(REGEXMATCH($E141,""Dragon""),""Dragon "","""")&amp;IF(REGEXMATCH($E141,""Human""),""Human "","""")&amp;I"&amp;"F(REGEXMATCH($E141,""Hunter""),""Hunter "","""")&amp;IF(REGEXMATCH($E141,""Animal""),""Animal "","""")&amp;IF(REGEXMATCH($E141,""Undead""),""Undead "","""")&amp;IF(REGEXMATCH($E141,""Plant""),""Plant "","""")&amp;IF(REGEXMATCH($E141,""Dinosaur""),""Dinosaur "","""")&amp;IF(R"&amp;"EGEXMATCH($E141,""Warrior""),""Warrior "","""")&amp;IF(REGEXMATCH($E141,""Spirit""),""Spirit "","""")&amp;IF(REGEXMATCH($E141,""Angel""),""Angel "","""")&amp;IF(REGEXMATCH($E141,""Demon""),""Demon "","""")&amp;IF(REGEXMATCH($E141,""Divine""),""Divine "","""")&amp;IF(REGEXMAT"&amp;"CH($E141,""Elemental""),""Elemental "","""")&amp;IF(REGEXMATCH($E141,""Nature""),""Nature "","""")&amp;IF(REGEXMATCH($E141,""Mortal""),""Mortal "","""")&amp;IF(REGEXMATCH($E141,""Void""),""Void "","""")&amp;IF(REGEXMATCH($E141,""Unearth|Ambush|Ritual|unearth|ambush|ritua"&amp;"l""),""Unearth "","""")&amp;IF(REGEXMATCH($E141,""Unleash|Crystallize|all realms|Crystalborn|crystallize""),""Ramp "","""")&amp;IF(REGEXMATCH($E141,""Demon""),""Demon "","""")&amp;IF(REGEXMATCH($E141,""bury|buries|Bury|Buries|Cleanse|puts a Unit|trail|Trail""),""Cont"&amp;"rol "","""")&amp;IF(REGEXMATCH($E141,""Bounce|Return|Copy|bounce|return|copy""),""Copy "","""")&amp;IF(REGEXMATCH($E141,""conquer|Conquer|leading in lanes|lead by""),""Aggro "","""")&amp;IF(REGEXMATCH($E141,""Ascend|ascend""),""Ascend "","""")&amp;IF(REGEXMATCH($E141,""B"&amp;"ury .+ Crystal|.*crystal.*bury""),""Empty-Crystal"","""")&amp;IF(REGEXMATCH($E141,""Move|move""),""Move"","""")"),"Elemental ")</f>
        <v>Elemental </v>
      </c>
      <c r="G141" s="12" t="s">
        <v>734</v>
      </c>
      <c r="H141" s="11">
        <v>1.0</v>
      </c>
      <c r="I141" s="11" t="s">
        <v>356</v>
      </c>
      <c r="J141" s="11" t="s">
        <v>42</v>
      </c>
      <c r="L141" s="13" t="str">
        <f>IFERROR(__xludf.DUMMYFUNCTION("IF(REGEXMATCH($B141,L$1),$D141,"""")"),"Spirit Wizard")</f>
        <v>Spirit Wizard</v>
      </c>
      <c r="M141" s="13" t="str">
        <f>IFERROR(__xludf.DUMMYFUNCTION("IF(REGEXMATCH($B141,M$1),$D141,"""")"),"")</f>
        <v/>
      </c>
      <c r="N141" s="13" t="str">
        <f>IFERROR(__xludf.DUMMYFUNCTION("IF(REGEXMATCH($B141,N$1),$D141,"""")"),"")</f>
        <v/>
      </c>
      <c r="O141" s="13" t="str">
        <f>IFERROR(__xludf.DUMMYFUNCTION("IF(REGEXMATCH($B141,O$1),$D141,"""")"),"")</f>
        <v/>
      </c>
      <c r="P141" s="13" t="str">
        <f>IFERROR(__xludf.DUMMYFUNCTION("IF(REGEXMATCH($B141,P$1),$D141,"""")"),"")</f>
        <v/>
      </c>
      <c r="Q141" s="13">
        <f>IFERROR(__xludf.DUMMYFUNCTION("IF($A141="""","""",LEN(REGEXREPLACE($I141,"",\s?"","""")))"),1.0)</f>
        <v>1</v>
      </c>
      <c r="S141" s="13"/>
      <c r="T141" s="13"/>
      <c r="U141" s="13"/>
      <c r="V141" s="13"/>
      <c r="W141" s="13"/>
      <c r="X141" s="13"/>
      <c r="Y141" s="13"/>
      <c r="Z141" s="13"/>
      <c r="AA141" s="13"/>
      <c r="AB141" s="13"/>
    </row>
    <row r="142" hidden="1">
      <c r="A142" s="19" t="s">
        <v>735</v>
      </c>
      <c r="B142" s="68" t="s">
        <v>14</v>
      </c>
      <c r="C142" s="18">
        <v>2.0</v>
      </c>
      <c r="D142" s="18" t="s">
        <v>44</v>
      </c>
      <c r="E142" s="19" t="s">
        <v>736</v>
      </c>
      <c r="F142" s="10" t="str">
        <f>IFERROR(__xludf.DUMMYFUNCTION("IF(REGEXMATCH($E142,""Wizard""),""Wizard "","""")&amp;IF(REGEXMATCH($E142,""Construct""),""Construct "","""")&amp;IF(REGEXMATCH($E142,""Insect""),""Insect "","""")&amp;IF(REGEXMATCH($E142,""Dragon""),""Dragon "","""")&amp;IF(REGEXMATCH($E142,""Human""),""Human "","""")&amp;I"&amp;"F(REGEXMATCH($E142,""Hunter""),""Hunter "","""")&amp;IF(REGEXMATCH($E142,""Animal""),""Animal "","""")&amp;IF(REGEXMATCH($E142,""Undead""),""Undead "","""")&amp;IF(REGEXMATCH($E142,""Plant""),""Plant "","""")&amp;IF(REGEXMATCH($E142,""Dinosaur""),""Dinosaur "","""")&amp;IF(R"&amp;"EGEXMATCH($E142,""Warrior""),""Warrior "","""")&amp;IF(REGEXMATCH($E142,""Spirit""),""Spirit "","""")&amp;IF(REGEXMATCH($E142,""Angel""),""Angel "","""")&amp;IF(REGEXMATCH($E142,""Demon""),""Demon "","""")&amp;IF(REGEXMATCH($E142,""Divine""),""Divine "","""")&amp;IF(REGEXMAT"&amp;"CH($E142,""Elemental""),""Elemental "","""")&amp;IF(REGEXMATCH($E142,""Nature""),""Nature "","""")&amp;IF(REGEXMATCH($E142,""Mortal""),""Mortal "","""")&amp;IF(REGEXMATCH($E142,""Void""),""Void "","""")&amp;IF(REGEXMATCH($E142,""Unearth|Ambush|Ritual|unearth|ambush|ritua"&amp;"l""),""Unearth "","""")&amp;IF(REGEXMATCH($E142,""Unleash|Crystallize|all realms|Crystalborn|crystallize""),""Ramp "","""")&amp;IF(REGEXMATCH($E142,""Demon""),""Demon "","""")&amp;IF(REGEXMATCH($E142,""bury|buries|Bury|Buries|Cleanse|puts a Unit|trail|Trail""),""Cont"&amp;"rol "","""")&amp;IF(REGEXMATCH($E142,""Bounce|Return|Copy|bounce|return|copy""),""Copy "","""")&amp;IF(REGEXMATCH($E142,""conquer|Conquer|leading in lanes|lead by""),""Aggro "","""")&amp;IF(REGEXMATCH($E142,""Ascend|ascend""),""Ascend "","""")&amp;IF(REGEXMATCH($E142,""B"&amp;"ury .+ Crystal|.*crystal.*bury""),""Empty-Crystal"","""")&amp;IF(REGEXMATCH($E142,""Move|move""),""Move"","""")"),"Construct ")</f>
        <v>Construct </v>
      </c>
      <c r="G142" s="20" t="s">
        <v>737</v>
      </c>
      <c r="H142" s="18">
        <v>2.0</v>
      </c>
      <c r="I142" s="18" t="s">
        <v>738</v>
      </c>
      <c r="J142" s="18" t="s">
        <v>50</v>
      </c>
      <c r="L142" s="13" t="str">
        <f>IFERROR(__xludf.DUMMYFUNCTION("IF(REGEXMATCH($B142,L$1),$D142,"""")"),"")</f>
        <v/>
      </c>
      <c r="M142" s="13" t="str">
        <f>IFERROR(__xludf.DUMMYFUNCTION("IF(REGEXMATCH($B142,M$1),$D142,"""")"),"")</f>
        <v/>
      </c>
      <c r="N142" s="13" t="str">
        <f>IFERROR(__xludf.DUMMYFUNCTION("IF(REGEXMATCH($B142,N$1),$D142,"""")"),"")</f>
        <v/>
      </c>
      <c r="O142" s="13" t="str">
        <f>IFERROR(__xludf.DUMMYFUNCTION("IF(REGEXMATCH($B142,O$1),$D142,"""")"),"Human")</f>
        <v>Human</v>
      </c>
      <c r="P142" s="13" t="str">
        <f>IFERROR(__xludf.DUMMYFUNCTION("IF(REGEXMATCH($B142,P$1),$D142,"""")"),"")</f>
        <v/>
      </c>
      <c r="Q142" s="13">
        <f>IFERROR(__xludf.DUMMYFUNCTION("IF($A142="""","""",LEN(REGEXREPLACE($I142,"",\s?"","""")))"),3.0)</f>
        <v>3</v>
      </c>
      <c r="S142" s="13"/>
      <c r="T142" s="13"/>
      <c r="U142" s="13"/>
      <c r="V142" s="13"/>
      <c r="W142" s="13"/>
      <c r="X142" s="13"/>
      <c r="Y142" s="13"/>
      <c r="Z142" s="13"/>
      <c r="AA142" s="13"/>
      <c r="AB142" s="13"/>
    </row>
    <row r="143">
      <c r="A143" s="10" t="s">
        <v>739</v>
      </c>
      <c r="B143" s="42" t="s">
        <v>11</v>
      </c>
      <c r="C143" s="11">
        <v>1.0</v>
      </c>
      <c r="D143" s="11" t="s">
        <v>695</v>
      </c>
      <c r="E143" s="10" t="s">
        <v>740</v>
      </c>
      <c r="F143" s="10" t="str">
        <f>IFERROR(__xludf.DUMMYFUNCTION("IF(REGEXMATCH($E143,""Wizard""),""Wizard "","""")&amp;IF(REGEXMATCH($E143,""Construct""),""Construct "","""")&amp;IF(REGEXMATCH($E143,""Insect""),""Insect "","""")&amp;IF(REGEXMATCH($E143,""Dragon""),""Dragon "","""")&amp;IF(REGEXMATCH($E143,""Human""),""Human "","""")&amp;I"&amp;"F(REGEXMATCH($E143,""Hunter""),""Hunter "","""")&amp;IF(REGEXMATCH($E143,""Animal""),""Animal "","""")&amp;IF(REGEXMATCH($E143,""Undead""),""Undead "","""")&amp;IF(REGEXMATCH($E143,""Plant""),""Plant "","""")&amp;IF(REGEXMATCH($E143,""Dinosaur""),""Dinosaur "","""")&amp;IF(R"&amp;"EGEXMATCH($E143,""Warrior""),""Warrior "","""")&amp;IF(REGEXMATCH($E143,""Spirit""),""Spirit "","""")&amp;IF(REGEXMATCH($E143,""Angel""),""Angel "","""")&amp;IF(REGEXMATCH($E143,""Demon""),""Demon "","""")&amp;IF(REGEXMATCH($E143,""Divine""),""Divine "","""")&amp;IF(REGEXMAT"&amp;"CH($E143,""Elemental""),""Elemental "","""")&amp;IF(REGEXMATCH($E143,""Nature""),""Nature "","""")&amp;IF(REGEXMATCH($E143,""Mortal""),""Mortal "","""")&amp;IF(REGEXMATCH($E143,""Void""),""Void "","""")&amp;IF(REGEXMATCH($E143,""Unearth|Ambush|Ritual|unearth|ambush|ritua"&amp;"l""),""Unearth "","""")&amp;IF(REGEXMATCH($E143,""Unleash|Crystallize|all realms|Crystalborn|crystallize""),""Ramp "","""")&amp;IF(REGEXMATCH($E143,""Demon""),""Demon "","""")&amp;IF(REGEXMATCH($E143,""bury|buries|Bury|Buries|Cleanse|puts a Unit|trail|Trail""),""Cont"&amp;"rol "","""")&amp;IF(REGEXMATCH($E143,""Bounce|Return|Copy|bounce|return|copy""),""Copy "","""")&amp;IF(REGEXMATCH($E143,""conquer|Conquer|leading in lanes|lead by""),""Aggro "","""")&amp;IF(REGEXMATCH($E143,""Ascend|ascend""),""Ascend "","""")&amp;IF(REGEXMATCH($E143,""B"&amp;"ury .+ Crystal|.*crystal.*bury""),""Empty-Crystal"","""")&amp;IF(REGEXMATCH($E143,""Move|move""),""Move"","""")"),"Dragon ")</f>
        <v>Dragon </v>
      </c>
      <c r="G143" s="12" t="s">
        <v>741</v>
      </c>
      <c r="H143" s="11">
        <v>3.0</v>
      </c>
      <c r="I143" s="11" t="s">
        <v>535</v>
      </c>
      <c r="J143" s="11" t="s">
        <v>50</v>
      </c>
      <c r="L143" s="13" t="str">
        <f>IFERROR(__xludf.DUMMYFUNCTION("IF(REGEXMATCH($B143,L$1),$D143,"""")"),"Spirit Wizard")</f>
        <v>Spirit Wizard</v>
      </c>
      <c r="M143" s="13" t="str">
        <f>IFERROR(__xludf.DUMMYFUNCTION("IF(REGEXMATCH($B143,M$1),$D143,"""")"),"")</f>
        <v/>
      </c>
      <c r="N143" s="13" t="str">
        <f>IFERROR(__xludf.DUMMYFUNCTION("IF(REGEXMATCH($B143,N$1),$D143,"""")"),"")</f>
        <v/>
      </c>
      <c r="O143" s="13" t="str">
        <f>IFERROR(__xludf.DUMMYFUNCTION("IF(REGEXMATCH($B143,O$1),$D143,"""")"),"")</f>
        <v/>
      </c>
      <c r="P143" s="13" t="str">
        <f>IFERROR(__xludf.DUMMYFUNCTION("IF(REGEXMATCH($B143,P$1),$D143,"""")"),"")</f>
        <v/>
      </c>
      <c r="Q143" s="13">
        <f>IFERROR(__xludf.DUMMYFUNCTION("IF($A143="""","""",LEN(REGEXREPLACE($I143,"",\s?"","""")))"),4.0)</f>
        <v>4</v>
      </c>
      <c r="S143" s="13"/>
      <c r="T143" s="13"/>
      <c r="U143" s="13"/>
      <c r="V143" s="13"/>
      <c r="W143" s="13"/>
      <c r="X143" s="13"/>
      <c r="Y143" s="13"/>
      <c r="Z143" s="13"/>
      <c r="AA143" s="13"/>
      <c r="AB143" s="13"/>
    </row>
    <row r="144">
      <c r="A144" s="27" t="s">
        <v>742</v>
      </c>
      <c r="B144" s="42" t="s">
        <v>661</v>
      </c>
      <c r="C144" s="11">
        <v>1.0</v>
      </c>
      <c r="D144" s="11" t="s">
        <v>743</v>
      </c>
      <c r="E144" s="10"/>
      <c r="F144" s="10" t="str">
        <f>IFERROR(__xludf.DUMMYFUNCTION("IF(REGEXMATCH($E144,""Wizard""),""Wizard "","""")&amp;IF(REGEXMATCH($E144,""Construct""),""Construct "","""")&amp;IF(REGEXMATCH($E144,""Insect""),""Insect "","""")&amp;IF(REGEXMATCH($E144,""Dragon""),""Dragon "","""")&amp;IF(REGEXMATCH($E144,""Human""),""Human "","""")&amp;I"&amp;"F(REGEXMATCH($E144,""Hunter""),""Hunter "","""")&amp;IF(REGEXMATCH($E144,""Animal""),""Animal "","""")&amp;IF(REGEXMATCH($E144,""Undead""),""Undead "","""")&amp;IF(REGEXMATCH($E144,""Plant""),""Plant "","""")&amp;IF(REGEXMATCH($E144,""Dinosaur""),""Dinosaur "","""")&amp;IF(R"&amp;"EGEXMATCH($E144,""Warrior""),""Warrior "","""")&amp;IF(REGEXMATCH($E144,""Spirit""),""Spirit "","""")&amp;IF(REGEXMATCH($E144,""Angel""),""Angel "","""")&amp;IF(REGEXMATCH($E144,""Demon""),""Demon "","""")&amp;IF(REGEXMATCH($E144,""Divine""),""Divine "","""")&amp;IF(REGEXMAT"&amp;"CH($E144,""Elemental""),""Elemental "","""")&amp;IF(REGEXMATCH($E144,""Nature""),""Nature "","""")&amp;IF(REGEXMATCH($E144,""Mortal""),""Mortal "","""")&amp;IF(REGEXMATCH($E144,""Void""),""Void "","""")&amp;IF(REGEXMATCH($E144,""Unearth|Ambush|Ritual|unearth|ambush|ritua"&amp;"l""),""Unearth "","""")&amp;IF(REGEXMATCH($E144,""Unleash|Crystallize|all realms|Crystalborn|crystallize""),""Ramp "","""")&amp;IF(REGEXMATCH($E144,""Demon""),""Demon "","""")&amp;IF(REGEXMATCH($E144,""bury|buries|Bury|Buries|Cleanse|puts a Unit|trail|Trail""),""Cont"&amp;"rol "","""")&amp;IF(REGEXMATCH($E144,""Bounce|Return|Copy|bounce|return|copy""),""Copy "","""")&amp;IF(REGEXMATCH($E144,""conquer|Conquer|leading in lanes|lead by""),""Aggro "","""")&amp;IF(REGEXMATCH($E144,""Ascend|ascend""),""Ascend "","""")&amp;IF(REGEXMATCH($E144,""B"&amp;"ury .+ Crystal|.*crystal.*bury""),""Empty-Crystal"","""")&amp;IF(REGEXMATCH($E144,""Move|move""),""Move"","""")"),"")</f>
        <v/>
      </c>
      <c r="G144" s="12" t="s">
        <v>744</v>
      </c>
      <c r="H144" s="11">
        <v>2.0</v>
      </c>
      <c r="I144" s="11" t="s">
        <v>745</v>
      </c>
      <c r="J144" s="11" t="s">
        <v>42</v>
      </c>
      <c r="L144" s="13" t="str">
        <f>IFERROR(__xludf.DUMMYFUNCTION("IF(REGEXMATCH($B144,L$1),$D144,"""")"),"Bannerbearer Human Warrior")</f>
        <v>Bannerbearer Human Warrior</v>
      </c>
      <c r="M144" s="13" t="str">
        <f>IFERROR(__xludf.DUMMYFUNCTION("IF(REGEXMATCH($B144,M$1),$D144,"""")"),"")</f>
        <v/>
      </c>
      <c r="N144" s="13" t="str">
        <f>IFERROR(__xludf.DUMMYFUNCTION("IF(REGEXMATCH($B144,N$1),$D144,"""")"),"")</f>
        <v/>
      </c>
      <c r="O144" s="13" t="str">
        <f>IFERROR(__xludf.DUMMYFUNCTION("IF(REGEXMATCH($B144,O$1),$D144,"""")"),"Bannerbearer Human Warrior")</f>
        <v>Bannerbearer Human Warrior</v>
      </c>
      <c r="P144" s="13" t="str">
        <f>IFERROR(__xludf.DUMMYFUNCTION("IF(REGEXMATCH($B144,P$1),$D144,"""")"),"")</f>
        <v/>
      </c>
      <c r="Q144" s="13">
        <f>IFERROR(__xludf.DUMMYFUNCTION("IF($A144="""","""",LEN(REGEXREPLACE($I144,"",\s?"","""")))"),2.0)</f>
        <v>2</v>
      </c>
      <c r="S144" s="13"/>
      <c r="T144" s="13"/>
      <c r="U144" s="13"/>
      <c r="V144" s="13"/>
      <c r="W144" s="13"/>
      <c r="X144" s="13"/>
      <c r="Y144" s="13"/>
      <c r="Z144" s="13"/>
      <c r="AA144" s="13"/>
      <c r="AB144" s="13"/>
    </row>
    <row r="145">
      <c r="A145" s="10" t="s">
        <v>746</v>
      </c>
      <c r="B145" s="42" t="s">
        <v>661</v>
      </c>
      <c r="C145" s="11">
        <v>1.0</v>
      </c>
      <c r="D145" s="11" t="s">
        <v>747</v>
      </c>
      <c r="E145" s="10" t="s">
        <v>748</v>
      </c>
      <c r="F145" s="10" t="str">
        <f>IFERROR(__xludf.DUMMYFUNCTION("IF(REGEXMATCH($E145,""Wizard""),""Wizard "","""")&amp;IF(REGEXMATCH($E145,""Construct""),""Construct "","""")&amp;IF(REGEXMATCH($E145,""Insect""),""Insect "","""")&amp;IF(REGEXMATCH($E145,""Dragon""),""Dragon "","""")&amp;IF(REGEXMATCH($E145,""Human""),""Human "","""")&amp;I"&amp;"F(REGEXMATCH($E145,""Hunter""),""Hunter "","""")&amp;IF(REGEXMATCH($E145,""Animal""),""Animal "","""")&amp;IF(REGEXMATCH($E145,""Undead""),""Undead "","""")&amp;IF(REGEXMATCH($E145,""Plant""),""Plant "","""")&amp;IF(REGEXMATCH($E145,""Dinosaur""),""Dinosaur "","""")&amp;IF(R"&amp;"EGEXMATCH($E145,""Warrior""),""Warrior "","""")&amp;IF(REGEXMATCH($E145,""Spirit""),""Spirit "","""")&amp;IF(REGEXMATCH($E145,""Angel""),""Angel "","""")&amp;IF(REGEXMATCH($E145,""Demon""),""Demon "","""")&amp;IF(REGEXMATCH($E145,""Divine""),""Divine "","""")&amp;IF(REGEXMAT"&amp;"CH($E145,""Elemental""),""Elemental "","""")&amp;IF(REGEXMATCH($E145,""Nature""),""Nature "","""")&amp;IF(REGEXMATCH($E145,""Mortal""),""Mortal "","""")&amp;IF(REGEXMATCH($E145,""Void""),""Void "","""")&amp;IF(REGEXMATCH($E145,""Unearth|Ambush|Ritual|unearth|ambush|ritua"&amp;"l""),""Unearth "","""")&amp;IF(REGEXMATCH($E145,""Unleash|Crystallize|all realms|Crystalborn|crystallize""),""Ramp "","""")&amp;IF(REGEXMATCH($E145,""Demon""),""Demon "","""")&amp;IF(REGEXMATCH($E145,""bury|buries|Bury|Buries|Cleanse|puts a Unit|trail|Trail""),""Cont"&amp;"rol "","""")&amp;IF(REGEXMATCH($E145,""Bounce|Return|Copy|bounce|return|copy""),""Copy "","""")&amp;IF(REGEXMATCH($E145,""conquer|Conquer|leading in lanes|lead by""),""Aggro "","""")&amp;IF(REGEXMATCH($E145,""Ascend|ascend""),""Ascend "","""")&amp;IF(REGEXMATCH($E145,""B"&amp;"ury .+ Crystal|.*crystal.*bury""),""Empty-Crystal"","""")&amp;IF(REGEXMATCH($E145,""Move|move""),""Move"","""")"),"Dragon Human Copy ")</f>
        <v>Dragon Human Copy </v>
      </c>
      <c r="G145" s="12" t="s">
        <v>749</v>
      </c>
      <c r="H145" s="11">
        <v>2.0</v>
      </c>
      <c r="I145" s="11" t="s">
        <v>664</v>
      </c>
      <c r="J145" s="11" t="s">
        <v>50</v>
      </c>
      <c r="L145" s="13" t="str">
        <f>IFERROR(__xludf.DUMMYFUNCTION("IF(REGEXMATCH($B145,L$1),$D145,"""")"),"Human Dragon")</f>
        <v>Human Dragon</v>
      </c>
      <c r="M145" s="13" t="str">
        <f>IFERROR(__xludf.DUMMYFUNCTION("IF(REGEXMATCH($B145,M$1),$D145,"""")"),"")</f>
        <v/>
      </c>
      <c r="N145" s="13" t="str">
        <f>IFERROR(__xludf.DUMMYFUNCTION("IF(REGEXMATCH($B145,N$1),$D145,"""")"),"")</f>
        <v/>
      </c>
      <c r="O145" s="13" t="str">
        <f>IFERROR(__xludf.DUMMYFUNCTION("IF(REGEXMATCH($B145,O$1),$D145,"""")"),"Human Dragon")</f>
        <v>Human Dragon</v>
      </c>
      <c r="P145" s="13" t="str">
        <f>IFERROR(__xludf.DUMMYFUNCTION("IF(REGEXMATCH($B145,P$1),$D145,"""")"),"")</f>
        <v/>
      </c>
      <c r="Q145" s="13">
        <f>IFERROR(__xludf.DUMMYFUNCTION("IF($A145="""","""",LEN(REGEXREPLACE($I145,"",\s?"","""")))"),4.0)</f>
        <v>4</v>
      </c>
      <c r="S145" s="13"/>
      <c r="T145" s="13"/>
      <c r="U145" s="13"/>
      <c r="V145" s="13"/>
      <c r="W145" s="13"/>
      <c r="X145" s="13"/>
      <c r="Y145" s="13"/>
      <c r="Z145" s="13"/>
      <c r="AA145" s="13"/>
      <c r="AB145" s="13"/>
    </row>
    <row r="146" hidden="1">
      <c r="A146" s="31" t="s">
        <v>750</v>
      </c>
      <c r="B146" s="68" t="s">
        <v>14</v>
      </c>
      <c r="C146" s="18">
        <v>2.0</v>
      </c>
      <c r="D146" s="18" t="s">
        <v>540</v>
      </c>
      <c r="E146" s="19" t="s">
        <v>751</v>
      </c>
      <c r="F146" s="10" t="str">
        <f>IFERROR(__xludf.DUMMYFUNCTION("IF(REGEXMATCH($E146,""Wizard""),""Wizard "","""")&amp;IF(REGEXMATCH($E146,""Construct""),""Construct "","""")&amp;IF(REGEXMATCH($E146,""Insect""),""Insect "","""")&amp;IF(REGEXMATCH($E146,""Dragon""),""Dragon "","""")&amp;IF(REGEXMATCH($E146,""Human""),""Human "","""")&amp;I"&amp;"F(REGEXMATCH($E146,""Hunter""),""Hunter "","""")&amp;IF(REGEXMATCH($E146,""Animal""),""Animal "","""")&amp;IF(REGEXMATCH($E146,""Undead""),""Undead "","""")&amp;IF(REGEXMATCH($E146,""Plant""),""Plant "","""")&amp;IF(REGEXMATCH($E146,""Dinosaur""),""Dinosaur "","""")&amp;IF(R"&amp;"EGEXMATCH($E146,""Warrior""),""Warrior "","""")&amp;IF(REGEXMATCH($E146,""Spirit""),""Spirit "","""")&amp;IF(REGEXMATCH($E146,""Angel""),""Angel "","""")&amp;IF(REGEXMATCH($E146,""Demon""),""Demon "","""")&amp;IF(REGEXMATCH($E146,""Divine""),""Divine "","""")&amp;IF(REGEXMAT"&amp;"CH($E146,""Elemental""),""Elemental "","""")&amp;IF(REGEXMATCH($E146,""Nature""),""Nature "","""")&amp;IF(REGEXMATCH($E146,""Mortal""),""Mortal "","""")&amp;IF(REGEXMATCH($E146,""Void""),""Void "","""")&amp;IF(REGEXMATCH($E146,""Unearth|Ambush|Ritual|unearth|ambush|ritua"&amp;"l""),""Unearth "","""")&amp;IF(REGEXMATCH($E146,""Unleash|Crystallize|all realms|Crystalborn|crystallize""),""Ramp "","""")&amp;IF(REGEXMATCH($E146,""Demon""),""Demon "","""")&amp;IF(REGEXMATCH($E146,""bury|buries|Bury|Buries|Cleanse|puts a Unit|trail|Trail""),""Cont"&amp;"rol "","""")&amp;IF(REGEXMATCH($E146,""Bounce|Return|Copy|bounce|return|copy""),""Copy "","""")&amp;IF(REGEXMATCH($E146,""conquer|Conquer|leading in lanes|lead by""),""Aggro "","""")&amp;IF(REGEXMATCH($E146,""Ascend|ascend""),""Ascend "","""")&amp;IF(REGEXMATCH($E146,""B"&amp;"ury .+ Crystal|.*crystal.*bury""),""Empty-Crystal"","""")&amp;IF(REGEXMATCH($E146,""Move|move""),""Move"","""")"),"Mortal ")</f>
        <v>Mortal </v>
      </c>
      <c r="G146" s="20" t="s">
        <v>541</v>
      </c>
      <c r="H146" s="18">
        <v>2.0</v>
      </c>
      <c r="I146" s="18" t="s">
        <v>752</v>
      </c>
      <c r="J146" s="18" t="s">
        <v>42</v>
      </c>
      <c r="L146" s="13" t="str">
        <f>IFERROR(__xludf.DUMMYFUNCTION("IF(REGEXMATCH($B146,L$1),$D146,"""")"),"")</f>
        <v/>
      </c>
      <c r="M146" s="13" t="str">
        <f>IFERROR(__xludf.DUMMYFUNCTION("IF(REGEXMATCH($B146,M$1),$D146,"""")"),"")</f>
        <v/>
      </c>
      <c r="N146" s="13" t="str">
        <f>IFERROR(__xludf.DUMMYFUNCTION("IF(REGEXMATCH($B146,N$1),$D146,"""")"),"")</f>
        <v/>
      </c>
      <c r="O146" s="13" t="str">
        <f>IFERROR(__xludf.DUMMYFUNCTION("IF(REGEXMATCH($B146,O$1),$D146,"""")"),"Warrior")</f>
        <v>Warrior</v>
      </c>
      <c r="P146" s="13" t="str">
        <f>IFERROR(__xludf.DUMMYFUNCTION("IF(REGEXMATCH($B146,P$1),$D146,"""")"),"")</f>
        <v/>
      </c>
      <c r="Q146" s="13">
        <f>IFERROR(__xludf.DUMMYFUNCTION("IF($A146="""","""",LEN(REGEXREPLACE($I146,"",\s?"","""")))"),2.0)</f>
        <v>2</v>
      </c>
      <c r="S146" s="13"/>
      <c r="T146" s="13"/>
      <c r="U146" s="13"/>
      <c r="V146" s="13"/>
      <c r="W146" s="13"/>
      <c r="X146" s="13"/>
      <c r="Y146" s="13"/>
      <c r="Z146" s="13"/>
      <c r="AA146" s="13"/>
      <c r="AB146" s="13"/>
    </row>
    <row r="147" hidden="1">
      <c r="A147" s="19" t="s">
        <v>753</v>
      </c>
      <c r="B147" s="64" t="s">
        <v>14</v>
      </c>
      <c r="C147" s="18">
        <v>2.0</v>
      </c>
      <c r="D147" s="18" t="s">
        <v>754</v>
      </c>
      <c r="E147" s="19" t="s">
        <v>755</v>
      </c>
      <c r="F147" s="10" t="str">
        <f>IFERROR(__xludf.DUMMYFUNCTION("IF(REGEXMATCH($E147,""Wizard""),""Wizard "","""")&amp;IF(REGEXMATCH($E147,""Construct""),""Construct "","""")&amp;IF(REGEXMATCH($E147,""Insect""),""Insect "","""")&amp;IF(REGEXMATCH($E147,""Dragon""),""Dragon "","""")&amp;IF(REGEXMATCH($E147,""Human""),""Human "","""")&amp;I"&amp;"F(REGEXMATCH($E147,""Hunter""),""Hunter "","""")&amp;IF(REGEXMATCH($E147,""Animal""),""Animal "","""")&amp;IF(REGEXMATCH($E147,""Undead""),""Undead "","""")&amp;IF(REGEXMATCH($E147,""Plant""),""Plant "","""")&amp;IF(REGEXMATCH($E147,""Dinosaur""),""Dinosaur "","""")&amp;IF(R"&amp;"EGEXMATCH($E147,""Warrior""),""Warrior "","""")&amp;IF(REGEXMATCH($E147,""Spirit""),""Spirit "","""")&amp;IF(REGEXMATCH($E147,""Angel""),""Angel "","""")&amp;IF(REGEXMATCH($E147,""Demon""),""Demon "","""")&amp;IF(REGEXMATCH($E147,""Divine""),""Divine "","""")&amp;IF(REGEXMAT"&amp;"CH($E147,""Elemental""),""Elemental "","""")&amp;IF(REGEXMATCH($E147,""Nature""),""Nature "","""")&amp;IF(REGEXMATCH($E147,""Mortal""),""Mortal "","""")&amp;IF(REGEXMATCH($E147,""Void""),""Void "","""")&amp;IF(REGEXMATCH($E147,""Unearth|Ambush|Ritual|unearth|ambush|ritua"&amp;"l""),""Unearth "","""")&amp;IF(REGEXMATCH($E147,""Unleash|Crystallize|all realms|Crystalborn|crystallize""),""Ramp "","""")&amp;IF(REGEXMATCH($E147,""Demon""),""Demon "","""")&amp;IF(REGEXMATCH($E147,""bury|buries|Bury|Buries|Cleanse|puts a Unit|trail|Trail""),""Cont"&amp;"rol "","""")&amp;IF(REGEXMATCH($E147,""Bounce|Return|Copy|bounce|return|copy""),""Copy "","""")&amp;IF(REGEXMATCH($E147,""conquer|Conquer|leading in lanes|lead by""),""Aggro "","""")&amp;IF(REGEXMATCH($E147,""Ascend|ascend""),""Ascend "","""")&amp;IF(REGEXMATCH($E147,""B"&amp;"ury .+ Crystal|.*crystal.*bury""),""Empty-Crystal"","""")&amp;IF(REGEXMATCH($E147,""Move|move""),""Move"","""")"),"Human ")</f>
        <v>Human </v>
      </c>
      <c r="G147" s="20" t="s">
        <v>756</v>
      </c>
      <c r="H147" s="18">
        <v>4.0</v>
      </c>
      <c r="I147" s="18" t="s">
        <v>380</v>
      </c>
      <c r="J147" s="18" t="s">
        <v>33</v>
      </c>
      <c r="L147" s="13" t="str">
        <f>IFERROR(__xludf.DUMMYFUNCTION("IF(REGEXMATCH($B147,L$1),$D147,"""")"),"")</f>
        <v/>
      </c>
      <c r="M147" s="13" t="str">
        <f>IFERROR(__xludf.DUMMYFUNCTION("IF(REGEXMATCH($B147,M$1),$D147,"""")"),"")</f>
        <v/>
      </c>
      <c r="N147" s="13" t="str">
        <f>IFERROR(__xludf.DUMMYFUNCTION("IF(REGEXMATCH($B147,N$1),$D147,"""")"),"")</f>
        <v/>
      </c>
      <c r="O147" s="13" t="str">
        <f>IFERROR(__xludf.DUMMYFUNCTION("IF(REGEXMATCH($B147,O$1),$D147,"""")"),"Animal Human")</f>
        <v>Animal Human</v>
      </c>
      <c r="P147" s="13" t="str">
        <f>IFERROR(__xludf.DUMMYFUNCTION("IF(REGEXMATCH($B147,P$1),$D147,"""")"),"")</f>
        <v/>
      </c>
      <c r="Q147" s="13">
        <f>IFERROR(__xludf.DUMMYFUNCTION("IF($A147="""","""",LEN(REGEXREPLACE($I147,"",\s?"","""")))"),5.0)</f>
        <v>5</v>
      </c>
      <c r="S147" s="13"/>
      <c r="T147" s="13"/>
      <c r="U147" s="13"/>
      <c r="V147" s="13"/>
      <c r="W147" s="13"/>
      <c r="X147" s="13"/>
      <c r="Y147" s="13"/>
      <c r="Z147" s="13"/>
      <c r="AA147" s="13"/>
      <c r="AB147" s="13"/>
    </row>
    <row r="148">
      <c r="A148" s="10" t="s">
        <v>757</v>
      </c>
      <c r="B148" s="42" t="s">
        <v>661</v>
      </c>
      <c r="C148" s="11">
        <v>1.0</v>
      </c>
      <c r="D148" s="11" t="s">
        <v>345</v>
      </c>
      <c r="E148" s="10" t="s">
        <v>758</v>
      </c>
      <c r="F148" s="10" t="str">
        <f>IFERROR(__xludf.DUMMYFUNCTION("IF(REGEXMATCH($E148,""Wizard""),""Wizard "","""")&amp;IF(REGEXMATCH($E148,""Construct""),""Construct "","""")&amp;IF(REGEXMATCH($E148,""Insect""),""Insect "","""")&amp;IF(REGEXMATCH($E148,""Dragon""),""Dragon "","""")&amp;IF(REGEXMATCH($E148,""Human""),""Human "","""")&amp;I"&amp;"F(REGEXMATCH($E148,""Hunter""),""Hunter "","""")&amp;IF(REGEXMATCH($E148,""Animal""),""Animal "","""")&amp;IF(REGEXMATCH($E148,""Undead""),""Undead "","""")&amp;IF(REGEXMATCH($E148,""Plant""),""Plant "","""")&amp;IF(REGEXMATCH($E148,""Dinosaur""),""Dinosaur "","""")&amp;IF(R"&amp;"EGEXMATCH($E148,""Warrior""),""Warrior "","""")&amp;IF(REGEXMATCH($E148,""Spirit""),""Spirit "","""")&amp;IF(REGEXMATCH($E148,""Angel""),""Angel "","""")&amp;IF(REGEXMATCH($E148,""Demon""),""Demon "","""")&amp;IF(REGEXMATCH($E148,""Divine""),""Divine "","""")&amp;IF(REGEXMAT"&amp;"CH($E148,""Elemental""),""Elemental "","""")&amp;IF(REGEXMATCH($E148,""Nature""),""Nature "","""")&amp;IF(REGEXMATCH($E148,""Mortal""),""Mortal "","""")&amp;IF(REGEXMATCH($E148,""Void""),""Void "","""")&amp;IF(REGEXMATCH($E148,""Unearth|Ambush|Ritual|unearth|ambush|ritua"&amp;"l""),""Unearth "","""")&amp;IF(REGEXMATCH($E148,""Unleash|Crystallize|all realms|Crystalborn|crystallize""),""Ramp "","""")&amp;IF(REGEXMATCH($E148,""Demon""),""Demon "","""")&amp;IF(REGEXMATCH($E148,""bury|buries|Bury|Buries|Cleanse|puts a Unit|trail|Trail""),""Cont"&amp;"rol "","""")&amp;IF(REGEXMATCH($E148,""Bounce|Return|Copy|bounce|return|copy""),""Copy "","""")&amp;IF(REGEXMATCH($E148,""conquer|Conquer|leading in lanes|lead by""),""Aggro "","""")&amp;IF(REGEXMATCH($E148,""Ascend|ascend""),""Ascend "","""")&amp;IF(REGEXMATCH($E148,""B"&amp;"ury .+ Crystal|.*crystal.*bury""),""Empty-Crystal"","""")&amp;IF(REGEXMATCH($E148,""Move|move""),""Move"","""")"),"Unearth ")</f>
        <v>Unearth </v>
      </c>
      <c r="G148" s="67" t="s">
        <v>759</v>
      </c>
      <c r="H148" s="11">
        <v>5.0</v>
      </c>
      <c r="I148" s="11" t="s">
        <v>760</v>
      </c>
      <c r="J148" s="11" t="s">
        <v>33</v>
      </c>
      <c r="L148" s="13" t="str">
        <f>IFERROR(__xludf.DUMMYFUNCTION("IF(REGEXMATCH($B148,L$1),$D148,"""")"),"Human Wizard")</f>
        <v>Human Wizard</v>
      </c>
      <c r="M148" s="13" t="str">
        <f>IFERROR(__xludf.DUMMYFUNCTION("IF(REGEXMATCH($B148,M$1),$D148,"""")"),"")</f>
        <v/>
      </c>
      <c r="N148" s="13" t="str">
        <f>IFERROR(__xludf.DUMMYFUNCTION("IF(REGEXMATCH($B148,N$1),$D148,"""")"),"")</f>
        <v/>
      </c>
      <c r="O148" s="13" t="str">
        <f>IFERROR(__xludf.DUMMYFUNCTION("IF(REGEXMATCH($B148,O$1),$D148,"""")"),"Human Wizard")</f>
        <v>Human Wizard</v>
      </c>
      <c r="P148" s="13" t="str">
        <f>IFERROR(__xludf.DUMMYFUNCTION("IF(REGEXMATCH($B148,P$1),$D148,"""")"),"")</f>
        <v/>
      </c>
      <c r="Q148" s="13">
        <f>IFERROR(__xludf.DUMMYFUNCTION("IF($A148="""","""",LEN(REGEXREPLACE($I148,"",\s?"","""")))"),5.0)</f>
        <v>5</v>
      </c>
      <c r="S148" s="13"/>
      <c r="T148" s="13"/>
      <c r="U148" s="13"/>
      <c r="V148" s="13"/>
      <c r="W148" s="13"/>
      <c r="X148" s="13"/>
      <c r="Y148" s="13"/>
      <c r="Z148" s="13"/>
      <c r="AA148" s="13"/>
      <c r="AB148" s="13"/>
    </row>
    <row r="149">
      <c r="A149" s="19" t="s">
        <v>761</v>
      </c>
      <c r="B149" s="42" t="s">
        <v>671</v>
      </c>
      <c r="C149" s="11">
        <v>1.0</v>
      </c>
      <c r="D149" s="11" t="s">
        <v>762</v>
      </c>
      <c r="E149" s="10"/>
      <c r="F149" s="10" t="str">
        <f>IFERROR(__xludf.DUMMYFUNCTION("IF(REGEXMATCH($E149,""Wizard""),""Wizard "","""")&amp;IF(REGEXMATCH($E149,""Construct""),""Construct "","""")&amp;IF(REGEXMATCH($E149,""Insect""),""Insect "","""")&amp;IF(REGEXMATCH($E149,""Dragon""),""Dragon "","""")&amp;IF(REGEXMATCH($E149,""Human""),""Human "","""")&amp;I"&amp;"F(REGEXMATCH($E149,""Hunter""),""Hunter "","""")&amp;IF(REGEXMATCH($E149,""Animal""),""Animal "","""")&amp;IF(REGEXMATCH($E149,""Undead""),""Undead "","""")&amp;IF(REGEXMATCH($E149,""Plant""),""Plant "","""")&amp;IF(REGEXMATCH($E149,""Dinosaur""),""Dinosaur "","""")&amp;IF(R"&amp;"EGEXMATCH($E149,""Warrior""),""Warrior "","""")&amp;IF(REGEXMATCH($E149,""Spirit""),""Spirit "","""")&amp;IF(REGEXMATCH($E149,""Angel""),""Angel "","""")&amp;IF(REGEXMATCH($E149,""Demon""),""Demon "","""")&amp;IF(REGEXMATCH($E149,""Divine""),""Divine "","""")&amp;IF(REGEXMAT"&amp;"CH($E149,""Elemental""),""Elemental "","""")&amp;IF(REGEXMATCH($E149,""Nature""),""Nature "","""")&amp;IF(REGEXMATCH($E149,""Mortal""),""Mortal "","""")&amp;IF(REGEXMATCH($E149,""Void""),""Void "","""")&amp;IF(REGEXMATCH($E149,""Unearth|Ambush|Ritual|unearth|ambush|ritua"&amp;"l""),""Unearth "","""")&amp;IF(REGEXMATCH($E149,""Unleash|Crystallize|all realms|Crystalborn|crystallize""),""Ramp "","""")&amp;IF(REGEXMATCH($E149,""Demon""),""Demon "","""")&amp;IF(REGEXMATCH($E149,""bury|buries|Bury|Buries|Cleanse|puts a Unit|trail|Trail""),""Cont"&amp;"rol "","""")&amp;IF(REGEXMATCH($E149,""Bounce|Return|Copy|bounce|return|copy""),""Copy "","""")&amp;IF(REGEXMATCH($E149,""conquer|Conquer|leading in lanes|lead by""),""Aggro "","""")&amp;IF(REGEXMATCH($E149,""Ascend|ascend""),""Ascend "","""")&amp;IF(REGEXMATCH($E149,""B"&amp;"ury .+ Crystal|.*crystal.*bury""),""Empty-Crystal"","""")&amp;IF(REGEXMATCH($E149,""Move|move""),""Move"","""")"),"")</f>
        <v/>
      </c>
      <c r="G149" s="12" t="s">
        <v>763</v>
      </c>
      <c r="H149" s="11">
        <v>2.0</v>
      </c>
      <c r="I149" s="11" t="s">
        <v>764</v>
      </c>
      <c r="J149" s="11" t="s">
        <v>42</v>
      </c>
      <c r="L149" s="13" t="str">
        <f>IFERROR(__xludf.DUMMYFUNCTION("IF(REGEXMATCH($B149,L$1),$D149,"""")"),"Animal Bannerbearer Hunter")</f>
        <v>Animal Bannerbearer Hunter</v>
      </c>
      <c r="M149" s="13" t="str">
        <f>IFERROR(__xludf.DUMMYFUNCTION("IF(REGEXMATCH($B149,M$1),$D149,"""")"),"Animal Bannerbearer Hunter")</f>
        <v>Animal Bannerbearer Hunter</v>
      </c>
      <c r="N149" s="13" t="str">
        <f>IFERROR(__xludf.DUMMYFUNCTION("IF(REGEXMATCH($B149,N$1),$D149,"""")"),"")</f>
        <v/>
      </c>
      <c r="O149" s="13" t="str">
        <f>IFERROR(__xludf.DUMMYFUNCTION("IF(REGEXMATCH($B149,O$1),$D149,"""")"),"")</f>
        <v/>
      </c>
      <c r="P149" s="13" t="str">
        <f>IFERROR(__xludf.DUMMYFUNCTION("IF(REGEXMATCH($B149,P$1),$D149,"""")"),"")</f>
        <v/>
      </c>
      <c r="Q149" s="13">
        <f>IFERROR(__xludf.DUMMYFUNCTION("IF($A149="""","""",LEN(REGEXREPLACE($I149,"",\s?"","""")))"),2.0)</f>
        <v>2</v>
      </c>
      <c r="S149" s="13"/>
      <c r="T149" s="13"/>
      <c r="U149" s="13"/>
      <c r="V149" s="13"/>
      <c r="W149" s="13"/>
      <c r="X149" s="13"/>
      <c r="Y149" s="13"/>
      <c r="Z149" s="13"/>
      <c r="AA149" s="13"/>
      <c r="AB149" s="13"/>
    </row>
    <row r="150" hidden="1">
      <c r="A150" s="19" t="s">
        <v>765</v>
      </c>
      <c r="B150" s="68" t="s">
        <v>14</v>
      </c>
      <c r="C150" s="18">
        <v>2.0</v>
      </c>
      <c r="D150" s="18" t="s">
        <v>44</v>
      </c>
      <c r="E150" s="19" t="s">
        <v>766</v>
      </c>
      <c r="F150" s="10" t="str">
        <f>IFERROR(__xludf.DUMMYFUNCTION("IF(REGEXMATCH($E150,""Wizard""),""Wizard "","""")&amp;IF(REGEXMATCH($E150,""Construct""),""Construct "","""")&amp;IF(REGEXMATCH($E150,""Insect""),""Insect "","""")&amp;IF(REGEXMATCH($E150,""Dragon""),""Dragon "","""")&amp;IF(REGEXMATCH($E150,""Human""),""Human "","""")&amp;I"&amp;"F(REGEXMATCH($E150,""Hunter""),""Hunter "","""")&amp;IF(REGEXMATCH($E150,""Animal""),""Animal "","""")&amp;IF(REGEXMATCH($E150,""Undead""),""Undead "","""")&amp;IF(REGEXMATCH($E150,""Plant""),""Plant "","""")&amp;IF(REGEXMATCH($E150,""Dinosaur""),""Dinosaur "","""")&amp;IF(R"&amp;"EGEXMATCH($E150,""Warrior""),""Warrior "","""")&amp;IF(REGEXMATCH($E150,""Spirit""),""Spirit "","""")&amp;IF(REGEXMATCH($E150,""Angel""),""Angel "","""")&amp;IF(REGEXMATCH($E150,""Demon""),""Demon "","""")&amp;IF(REGEXMATCH($E150,""Divine""),""Divine "","""")&amp;IF(REGEXMAT"&amp;"CH($E150,""Elemental""),""Elemental "","""")&amp;IF(REGEXMATCH($E150,""Nature""),""Nature "","""")&amp;IF(REGEXMATCH($E150,""Mortal""),""Mortal "","""")&amp;IF(REGEXMATCH($E150,""Void""),""Void "","""")&amp;IF(REGEXMATCH($E150,""Unearth|Ambush|Ritual|unearth|ambush|ritua"&amp;"l""),""Unearth "","""")&amp;IF(REGEXMATCH($E150,""Unleash|Crystallize|all realms|Crystalborn|crystallize""),""Ramp "","""")&amp;IF(REGEXMATCH($E150,""Demon""),""Demon "","""")&amp;IF(REGEXMATCH($E150,""bury|buries|Bury|Buries|Cleanse|puts a Unit|trail|Trail""),""Cont"&amp;"rol "","""")&amp;IF(REGEXMATCH($E150,""Bounce|Return|Copy|bounce|return|copy""),""Copy "","""")&amp;IF(REGEXMATCH($E150,""conquer|Conquer|leading in lanes|lead by""),""Aggro "","""")&amp;IF(REGEXMATCH($E150,""Ascend|ascend""),""Ascend "","""")&amp;IF(REGEXMATCH($E150,""B"&amp;"ury .+ Crystal|.*crystal.*bury""),""Empty-Crystal"","""")&amp;IF(REGEXMATCH($E150,""Move|move""),""Move"","""")"),"Unearth ")</f>
        <v>Unearth </v>
      </c>
      <c r="G150" s="20" t="s">
        <v>127</v>
      </c>
      <c r="H150" s="18">
        <v>2.0</v>
      </c>
      <c r="I150" s="18" t="s">
        <v>767</v>
      </c>
      <c r="J150" s="11" t="s">
        <v>50</v>
      </c>
      <c r="L150" s="13" t="str">
        <f>IFERROR(__xludf.DUMMYFUNCTION("IF(REGEXMATCH($B150,L$1),$D150,"""")"),"")</f>
        <v/>
      </c>
      <c r="M150" s="13" t="str">
        <f>IFERROR(__xludf.DUMMYFUNCTION("IF(REGEXMATCH($B150,M$1),$D150,"""")"),"")</f>
        <v/>
      </c>
      <c r="N150" s="13" t="str">
        <f>IFERROR(__xludf.DUMMYFUNCTION("IF(REGEXMATCH($B150,N$1),$D150,"""")"),"")</f>
        <v/>
      </c>
      <c r="O150" s="13" t="str">
        <f>IFERROR(__xludf.DUMMYFUNCTION("IF(REGEXMATCH($B150,O$1),$D150,"""")"),"Human")</f>
        <v>Human</v>
      </c>
      <c r="P150" s="13" t="str">
        <f>IFERROR(__xludf.DUMMYFUNCTION("IF(REGEXMATCH($B150,P$1),$D150,"""")"),"")</f>
        <v/>
      </c>
      <c r="Q150" s="13">
        <f>IFERROR(__xludf.DUMMYFUNCTION("IF($A150="""","""",LEN(REGEXREPLACE($I150,"",\s?"","""")))"),4.0)</f>
        <v>4</v>
      </c>
      <c r="S150" s="13"/>
      <c r="T150" s="13"/>
      <c r="U150" s="13"/>
      <c r="V150" s="13"/>
      <c r="W150" s="13"/>
      <c r="X150" s="13"/>
      <c r="Y150" s="13"/>
      <c r="Z150" s="13"/>
      <c r="AA150" s="13"/>
      <c r="AB150" s="13"/>
    </row>
    <row r="151" ht="15.75" hidden="1" customHeight="1">
      <c r="A151" s="19" t="s">
        <v>768</v>
      </c>
      <c r="B151" s="68" t="s">
        <v>14</v>
      </c>
      <c r="C151" s="18">
        <v>2.0</v>
      </c>
      <c r="D151" s="18" t="s">
        <v>221</v>
      </c>
      <c r="E151" s="19" t="s">
        <v>769</v>
      </c>
      <c r="F151" s="10" t="str">
        <f>IFERROR(__xludf.DUMMYFUNCTION("IF(REGEXMATCH($E151,""Wizard""),""Wizard "","""")&amp;IF(REGEXMATCH($E151,""Construct""),""Construct "","""")&amp;IF(REGEXMATCH($E151,""Insect""),""Insect "","""")&amp;IF(REGEXMATCH($E151,""Dragon""),""Dragon "","""")&amp;IF(REGEXMATCH($E151,""Human""),""Human "","""")&amp;I"&amp;"F(REGEXMATCH($E151,""Hunter""),""Hunter "","""")&amp;IF(REGEXMATCH($E151,""Animal""),""Animal "","""")&amp;IF(REGEXMATCH($E151,""Undead""),""Undead "","""")&amp;IF(REGEXMATCH($E151,""Plant""),""Plant "","""")&amp;IF(REGEXMATCH($E151,""Dinosaur""),""Dinosaur "","""")&amp;IF(R"&amp;"EGEXMATCH($E151,""Warrior""),""Warrior "","""")&amp;IF(REGEXMATCH($E151,""Spirit""),""Spirit "","""")&amp;IF(REGEXMATCH($E151,""Angel""),""Angel "","""")&amp;IF(REGEXMATCH($E151,""Demon""),""Demon "","""")&amp;IF(REGEXMATCH($E151,""Divine""),""Divine "","""")&amp;IF(REGEXMAT"&amp;"CH($E151,""Elemental""),""Elemental "","""")&amp;IF(REGEXMATCH($E151,""Nature""),""Nature "","""")&amp;IF(REGEXMATCH($E151,""Mortal""),""Mortal "","""")&amp;IF(REGEXMATCH($E151,""Void""),""Void "","""")&amp;IF(REGEXMATCH($E151,""Unearth|Ambush|Ritual|unearth|ambush|ritua"&amp;"l""),""Unearth "","""")&amp;IF(REGEXMATCH($E151,""Unleash|Crystallize|all realms|Crystalborn|crystallize""),""Ramp "","""")&amp;IF(REGEXMATCH($E151,""Demon""),""Demon "","""")&amp;IF(REGEXMATCH($E151,""bury|buries|Bury|Buries|Cleanse|puts a Unit|trail|Trail""),""Cont"&amp;"rol "","""")&amp;IF(REGEXMATCH($E151,""Bounce|Return|Copy|bounce|return|copy""),""Copy "","""")&amp;IF(REGEXMATCH($E151,""conquer|Conquer|leading in lanes|lead by""),""Aggro "","""")&amp;IF(REGEXMATCH($E151,""Ascend|ascend""),""Ascend "","""")&amp;IF(REGEXMATCH($E151,""B"&amp;"ury .+ Crystal|.*crystal.*bury""),""Empty-Crystal"","""")&amp;IF(REGEXMATCH($E151,""Move|move""),""Move"","""")"),"Hunter Ramp Control ")</f>
        <v>Hunter Ramp Control </v>
      </c>
      <c r="G151" s="20" t="s">
        <v>770</v>
      </c>
      <c r="H151" s="18">
        <v>4.0</v>
      </c>
      <c r="I151" s="18" t="s">
        <v>767</v>
      </c>
      <c r="J151" s="18" t="s">
        <v>50</v>
      </c>
      <c r="L151" s="13" t="str">
        <f>IFERROR(__xludf.DUMMYFUNCTION("IF(REGEXMATCH($B151,L$1),$D151,"""")"),"")</f>
        <v/>
      </c>
      <c r="M151" s="13" t="str">
        <f>IFERROR(__xludf.DUMMYFUNCTION("IF(REGEXMATCH($B151,M$1),$D151,"""")"),"")</f>
        <v/>
      </c>
      <c r="N151" s="13" t="str">
        <f>IFERROR(__xludf.DUMMYFUNCTION("IF(REGEXMATCH($B151,N$1),$D151,"""")"),"")</f>
        <v/>
      </c>
      <c r="O151" s="13" t="str">
        <f>IFERROR(__xludf.DUMMYFUNCTION("IF(REGEXMATCH($B151,O$1),$D151,"""")"),"Human Hunter")</f>
        <v>Human Hunter</v>
      </c>
      <c r="P151" s="13" t="str">
        <f>IFERROR(__xludf.DUMMYFUNCTION("IF(REGEXMATCH($B151,P$1),$D151,"""")"),"")</f>
        <v/>
      </c>
      <c r="Q151" s="13">
        <f>IFERROR(__xludf.DUMMYFUNCTION("IF($A151="""","""",LEN(REGEXREPLACE($I151,"",\s?"","""")))"),4.0)</f>
        <v>4</v>
      </c>
      <c r="S151" s="13"/>
      <c r="T151" s="13"/>
      <c r="U151" s="13"/>
      <c r="V151" s="13"/>
      <c r="W151" s="13"/>
      <c r="X151" s="13"/>
      <c r="Y151" s="13"/>
      <c r="Z151" s="13"/>
      <c r="AA151" s="13"/>
      <c r="AB151" s="13"/>
    </row>
    <row r="152">
      <c r="A152" s="10" t="s">
        <v>771</v>
      </c>
      <c r="B152" s="42" t="s">
        <v>671</v>
      </c>
      <c r="C152" s="11">
        <v>1.0</v>
      </c>
      <c r="D152" s="25" t="s">
        <v>772</v>
      </c>
      <c r="E152" s="10" t="s">
        <v>773</v>
      </c>
      <c r="F152" s="10" t="str">
        <f>IFERROR(__xludf.DUMMYFUNCTION("IF(REGEXMATCH($E152,""Wizard""),""Wizard "","""")&amp;IF(REGEXMATCH($E152,""Construct""),""Construct "","""")&amp;IF(REGEXMATCH($E152,""Insect""),""Insect "","""")&amp;IF(REGEXMATCH($E152,""Dragon""),""Dragon "","""")&amp;IF(REGEXMATCH($E152,""Human""),""Human "","""")&amp;I"&amp;"F(REGEXMATCH($E152,""Hunter""),""Hunter "","""")&amp;IF(REGEXMATCH($E152,""Animal""),""Animal "","""")&amp;IF(REGEXMATCH($E152,""Undead""),""Undead "","""")&amp;IF(REGEXMATCH($E152,""Plant""),""Plant "","""")&amp;IF(REGEXMATCH($E152,""Dinosaur""),""Dinosaur "","""")&amp;IF(R"&amp;"EGEXMATCH($E152,""Warrior""),""Warrior "","""")&amp;IF(REGEXMATCH($E152,""Spirit""),""Spirit "","""")&amp;IF(REGEXMATCH($E152,""Angel""),""Angel "","""")&amp;IF(REGEXMATCH($E152,""Demon""),""Demon "","""")&amp;IF(REGEXMATCH($E152,""Divine""),""Divine "","""")&amp;IF(REGEXMAT"&amp;"CH($E152,""Elemental""),""Elemental "","""")&amp;IF(REGEXMATCH($E152,""Nature""),""Nature "","""")&amp;IF(REGEXMATCH($E152,""Mortal""),""Mortal "","""")&amp;IF(REGEXMATCH($E152,""Void""),""Void "","""")&amp;IF(REGEXMATCH($E152,""Unearth|Ambush|Ritual|unearth|ambush|ritua"&amp;"l""),""Unearth "","""")&amp;IF(REGEXMATCH($E152,""Unleash|Crystallize|all realms|Crystalborn|crystallize""),""Ramp "","""")&amp;IF(REGEXMATCH($E152,""Demon""),""Demon "","""")&amp;IF(REGEXMATCH($E152,""bury|buries|Bury|Buries|Cleanse|puts a Unit|trail|Trail""),""Cont"&amp;"rol "","""")&amp;IF(REGEXMATCH($E152,""Bounce|Return|Copy|bounce|return|copy""),""Copy "","""")&amp;IF(REGEXMATCH($E152,""conquer|Conquer|leading in lanes|lead by""),""Aggro "","""")&amp;IF(REGEXMATCH($E152,""Ascend|ascend""),""Ascend "","""")&amp;IF(REGEXMATCH($E152,""B"&amp;"ury .+ Crystal|.*crystal.*bury""),""Empty-Crystal"","""")&amp;IF(REGEXMATCH($E152,""Move|move""),""Move"","""")"),"Elemental Nature ")</f>
        <v>Elemental Nature </v>
      </c>
      <c r="G152" s="12" t="s">
        <v>774</v>
      </c>
      <c r="H152" s="11">
        <v>6.0</v>
      </c>
      <c r="I152" s="11" t="s">
        <v>775</v>
      </c>
      <c r="J152" s="11" t="s">
        <v>33</v>
      </c>
      <c r="L152" s="13" t="str">
        <f>IFERROR(__xludf.DUMMYFUNCTION("IF(REGEXMATCH($B152,L$1),$D152,"""")"),"Dragon Plant")</f>
        <v>Dragon Plant</v>
      </c>
      <c r="M152" s="13" t="str">
        <f>IFERROR(__xludf.DUMMYFUNCTION("IF(REGEXMATCH($B152,M$1),$D152,"""")"),"Dragon Plant")</f>
        <v>Dragon Plant</v>
      </c>
      <c r="N152" s="13" t="str">
        <f>IFERROR(__xludf.DUMMYFUNCTION("IF(REGEXMATCH($B152,N$1),$D152,"""")"),"")</f>
        <v/>
      </c>
      <c r="O152" s="13" t="str">
        <f>IFERROR(__xludf.DUMMYFUNCTION("IF(REGEXMATCH($B152,O$1),$D152,"""")"),"")</f>
        <v/>
      </c>
      <c r="P152" s="13" t="str">
        <f>IFERROR(__xludf.DUMMYFUNCTION("IF(REGEXMATCH($B152,P$1),$D152,"""")"),"")</f>
        <v/>
      </c>
      <c r="Q152" s="13">
        <f>IFERROR(__xludf.DUMMYFUNCTION("IF($A152="""","""",LEN(REGEXREPLACE($I152,"",\s?"","""")))"),6.0)</f>
        <v>6</v>
      </c>
      <c r="S152" s="13"/>
      <c r="T152" s="13"/>
      <c r="U152" s="13"/>
      <c r="V152" s="13"/>
      <c r="W152" s="13"/>
      <c r="X152" s="13"/>
      <c r="Y152" s="13"/>
      <c r="Z152" s="13"/>
      <c r="AA152" s="13"/>
      <c r="AB152" s="13"/>
    </row>
    <row r="153">
      <c r="A153" s="69" t="s">
        <v>776</v>
      </c>
      <c r="B153" s="42" t="s">
        <v>671</v>
      </c>
      <c r="C153" s="11">
        <v>1.0</v>
      </c>
      <c r="D153" s="11" t="s">
        <v>450</v>
      </c>
      <c r="E153" s="10" t="s">
        <v>777</v>
      </c>
      <c r="F153" s="10" t="str">
        <f>IFERROR(__xludf.DUMMYFUNCTION("IF(REGEXMATCH($E153,""Wizard""),""Wizard "","""")&amp;IF(REGEXMATCH($E153,""Construct""),""Construct "","""")&amp;IF(REGEXMATCH($E153,""Insect""),""Insect "","""")&amp;IF(REGEXMATCH($E153,""Dragon""),""Dragon "","""")&amp;IF(REGEXMATCH($E153,""Human""),""Human "","""")&amp;I"&amp;"F(REGEXMATCH($E153,""Hunter""),""Hunter "","""")&amp;IF(REGEXMATCH($E153,""Animal""),""Animal "","""")&amp;IF(REGEXMATCH($E153,""Undead""),""Undead "","""")&amp;IF(REGEXMATCH($E153,""Plant""),""Plant "","""")&amp;IF(REGEXMATCH($E153,""Dinosaur""),""Dinosaur "","""")&amp;IF(R"&amp;"EGEXMATCH($E153,""Warrior""),""Warrior "","""")&amp;IF(REGEXMATCH($E153,""Spirit""),""Spirit "","""")&amp;IF(REGEXMATCH($E153,""Angel""),""Angel "","""")&amp;IF(REGEXMATCH($E153,""Demon""),""Demon "","""")&amp;IF(REGEXMATCH($E153,""Divine""),""Divine "","""")&amp;IF(REGEXMAT"&amp;"CH($E153,""Elemental""),""Elemental "","""")&amp;IF(REGEXMATCH($E153,""Nature""),""Nature "","""")&amp;IF(REGEXMATCH($E153,""Mortal""),""Mortal "","""")&amp;IF(REGEXMATCH($E153,""Void""),""Void "","""")&amp;IF(REGEXMATCH($E153,""Unearth|Ambush|Ritual|unearth|ambush|ritua"&amp;"l""),""Unearth "","""")&amp;IF(REGEXMATCH($E153,""Unleash|Crystallize|all realms|Crystalborn|crystallize""),""Ramp "","""")&amp;IF(REGEXMATCH($E153,""Demon""),""Demon "","""")&amp;IF(REGEXMATCH($E153,""bury|buries|Bury|Buries|Cleanse|puts a Unit|trail|Trail""),""Cont"&amp;"rol "","""")&amp;IF(REGEXMATCH($E153,""Bounce|Return|Copy|bounce|return|copy""),""Copy "","""")&amp;IF(REGEXMATCH($E153,""conquer|Conquer|leading in lanes|lead by""),""Aggro "","""")&amp;IF(REGEXMATCH($E153,""Ascend|ascend""),""Ascend "","""")&amp;IF(REGEXMATCH($E153,""B"&amp;"ury .+ Crystal|.*crystal.*bury""),""Empty-Crystal"","""")&amp;IF(REGEXMATCH($E153,""Move|move""),""Move"","""")"),"")</f>
        <v/>
      </c>
      <c r="G153" s="12" t="s">
        <v>778</v>
      </c>
      <c r="H153" s="11">
        <v>5.0</v>
      </c>
      <c r="I153" s="11" t="s">
        <v>680</v>
      </c>
      <c r="J153" s="11" t="s">
        <v>50</v>
      </c>
      <c r="L153" s="13" t="str">
        <f>IFERROR(__xludf.DUMMYFUNCTION("IF(REGEXMATCH($B153,L$1),$D153,"""")"),"Dragon Spirit")</f>
        <v>Dragon Spirit</v>
      </c>
      <c r="M153" s="13" t="str">
        <f>IFERROR(__xludf.DUMMYFUNCTION("IF(REGEXMATCH($B153,M$1),$D153,"""")"),"Dragon Spirit")</f>
        <v>Dragon Spirit</v>
      </c>
      <c r="N153" s="13" t="str">
        <f>IFERROR(__xludf.DUMMYFUNCTION("IF(REGEXMATCH($B153,N$1),$D153,"""")"),"")</f>
        <v/>
      </c>
      <c r="O153" s="13" t="str">
        <f>IFERROR(__xludf.DUMMYFUNCTION("IF(REGEXMATCH($B153,O$1),$D153,"""")"),"")</f>
        <v/>
      </c>
      <c r="P153" s="13" t="str">
        <f>IFERROR(__xludf.DUMMYFUNCTION("IF(REGEXMATCH($B153,P$1),$D153,"""")"),"")</f>
        <v/>
      </c>
      <c r="Q153" s="13">
        <f>IFERROR(__xludf.DUMMYFUNCTION("IF($A153="""","""",LEN(REGEXREPLACE($I153,"",\s?"","""")))"),5.0)</f>
        <v>5</v>
      </c>
      <c r="S153" s="13"/>
      <c r="T153" s="13"/>
      <c r="U153" s="13"/>
      <c r="V153" s="13"/>
      <c r="W153" s="13"/>
      <c r="X153" s="13"/>
      <c r="Y153" s="13"/>
      <c r="Z153" s="13"/>
      <c r="AA153" s="13"/>
      <c r="AB153" s="13"/>
    </row>
    <row r="154" hidden="1">
      <c r="A154" s="10" t="s">
        <v>779</v>
      </c>
      <c r="B154" s="70" t="s">
        <v>14</v>
      </c>
      <c r="C154" s="11">
        <v>2.0</v>
      </c>
      <c r="D154" s="11" t="s">
        <v>44</v>
      </c>
      <c r="E154" s="71" t="s">
        <v>780</v>
      </c>
      <c r="F154" s="10" t="str">
        <f>IFERROR(__xludf.DUMMYFUNCTION("IF(REGEXMATCH($E154,""Wizard""),""Wizard "","""")&amp;IF(REGEXMATCH($E154,""Construct""),""Construct "","""")&amp;IF(REGEXMATCH($E154,""Insect""),""Insect "","""")&amp;IF(REGEXMATCH($E154,""Dragon""),""Dragon "","""")&amp;IF(REGEXMATCH($E154,""Human""),""Human "","""")&amp;I"&amp;"F(REGEXMATCH($E154,""Hunter""),""Hunter "","""")&amp;IF(REGEXMATCH($E154,""Animal""),""Animal "","""")&amp;IF(REGEXMATCH($E154,""Undead""),""Undead "","""")&amp;IF(REGEXMATCH($E154,""Plant""),""Plant "","""")&amp;IF(REGEXMATCH($E154,""Dinosaur""),""Dinosaur "","""")&amp;IF(R"&amp;"EGEXMATCH($E154,""Warrior""),""Warrior "","""")&amp;IF(REGEXMATCH($E154,""Spirit""),""Spirit "","""")&amp;IF(REGEXMATCH($E154,""Angel""),""Angel "","""")&amp;IF(REGEXMATCH($E154,""Demon""),""Demon "","""")&amp;IF(REGEXMATCH($E154,""Divine""),""Divine "","""")&amp;IF(REGEXMAT"&amp;"CH($E154,""Elemental""),""Elemental "","""")&amp;IF(REGEXMATCH($E154,""Nature""),""Nature "","""")&amp;IF(REGEXMATCH($E154,""Mortal""),""Mortal "","""")&amp;IF(REGEXMATCH($E154,""Void""),""Void "","""")&amp;IF(REGEXMATCH($E154,""Unearth|Ambush|Ritual|unearth|ambush|ritua"&amp;"l""),""Unearth "","""")&amp;IF(REGEXMATCH($E154,""Unleash|Crystallize|all realms|Crystalborn|crystallize""),""Ramp "","""")&amp;IF(REGEXMATCH($E154,""Demon""),""Demon "","""")&amp;IF(REGEXMATCH($E154,""bury|buries|Bury|Buries|Cleanse|puts a Unit|trail|Trail""),""Cont"&amp;"rol "","""")&amp;IF(REGEXMATCH($E154,""Bounce|Return|Copy|bounce|return|copy""),""Copy "","""")&amp;IF(REGEXMATCH($E154,""conquer|Conquer|leading in lanes|lead by""),""Aggro "","""")&amp;IF(REGEXMATCH($E154,""Ascend|ascend""),""Ascend "","""")&amp;IF(REGEXMATCH($E154,""B"&amp;"ury .+ Crystal|.*crystal.*bury""),""Empty-Crystal"","""")&amp;IF(REGEXMATCH($E154,""Move|move""),""Move"","""")"),"Ramp Aggro ")</f>
        <v>Ramp Aggro </v>
      </c>
      <c r="G154" s="12" t="s">
        <v>494</v>
      </c>
      <c r="H154" s="11">
        <v>3.0</v>
      </c>
      <c r="I154" s="11" t="s">
        <v>752</v>
      </c>
      <c r="J154" s="11" t="s">
        <v>33</v>
      </c>
      <c r="L154" s="13" t="str">
        <f>IFERROR(__xludf.DUMMYFUNCTION("IF(REGEXMATCH($B154,L$1),$D154,"""")"),"")</f>
        <v/>
      </c>
      <c r="M154" s="13" t="str">
        <f>IFERROR(__xludf.DUMMYFUNCTION("IF(REGEXMATCH($B154,M$1),$D154,"""")"),"")</f>
        <v/>
      </c>
      <c r="N154" s="13" t="str">
        <f>IFERROR(__xludf.DUMMYFUNCTION("IF(REGEXMATCH($B154,N$1),$D154,"""")"),"")</f>
        <v/>
      </c>
      <c r="O154" s="13" t="str">
        <f>IFERROR(__xludf.DUMMYFUNCTION("IF(REGEXMATCH($B154,O$1),$D154,"""")"),"Human")</f>
        <v>Human</v>
      </c>
      <c r="P154" s="13" t="str">
        <f>IFERROR(__xludf.DUMMYFUNCTION("IF(REGEXMATCH($B154,P$1),$D154,"""")"),"")</f>
        <v/>
      </c>
      <c r="Q154" s="13">
        <f>IFERROR(__xludf.DUMMYFUNCTION("IF($A154="""","""",LEN(REGEXREPLACE($I154,"",\s?"","""")))"),2.0)</f>
        <v>2</v>
      </c>
      <c r="S154" s="13"/>
      <c r="T154" s="13"/>
      <c r="U154" s="13"/>
      <c r="V154" s="13"/>
      <c r="W154" s="13"/>
      <c r="X154" s="13"/>
      <c r="Y154" s="13"/>
      <c r="Z154" s="13"/>
      <c r="AA154" s="13"/>
      <c r="AB154" s="13"/>
    </row>
    <row r="155">
      <c r="A155" s="10" t="s">
        <v>781</v>
      </c>
      <c r="B155" s="42" t="s">
        <v>694</v>
      </c>
      <c r="C155" s="11">
        <v>1.0</v>
      </c>
      <c r="D155" s="11" t="s">
        <v>782</v>
      </c>
      <c r="E155" s="10"/>
      <c r="F155" s="10" t="str">
        <f>IFERROR(__xludf.DUMMYFUNCTION("IF(REGEXMATCH($E155,""Wizard""),""Wizard "","""")&amp;IF(REGEXMATCH($E155,""Construct""),""Construct "","""")&amp;IF(REGEXMATCH($E155,""Insect""),""Insect "","""")&amp;IF(REGEXMATCH($E155,""Dragon""),""Dragon "","""")&amp;IF(REGEXMATCH($E155,""Human""),""Human "","""")&amp;I"&amp;"F(REGEXMATCH($E155,""Hunter""),""Hunter "","""")&amp;IF(REGEXMATCH($E155,""Animal""),""Animal "","""")&amp;IF(REGEXMATCH($E155,""Undead""),""Undead "","""")&amp;IF(REGEXMATCH($E155,""Plant""),""Plant "","""")&amp;IF(REGEXMATCH($E155,""Dinosaur""),""Dinosaur "","""")&amp;IF(R"&amp;"EGEXMATCH($E155,""Warrior""),""Warrior "","""")&amp;IF(REGEXMATCH($E155,""Spirit""),""Spirit "","""")&amp;IF(REGEXMATCH($E155,""Angel""),""Angel "","""")&amp;IF(REGEXMATCH($E155,""Demon""),""Demon "","""")&amp;IF(REGEXMATCH($E155,""Divine""),""Divine "","""")&amp;IF(REGEXMAT"&amp;"CH($E155,""Elemental""),""Elemental "","""")&amp;IF(REGEXMATCH($E155,""Nature""),""Nature "","""")&amp;IF(REGEXMATCH($E155,""Mortal""),""Mortal "","""")&amp;IF(REGEXMATCH($E155,""Void""),""Void "","""")&amp;IF(REGEXMATCH($E155,""Unearth|Ambush|Ritual|unearth|ambush|ritua"&amp;"l""),""Unearth "","""")&amp;IF(REGEXMATCH($E155,""Unleash|Crystallize|all realms|Crystalborn|crystallize""),""Ramp "","""")&amp;IF(REGEXMATCH($E155,""Demon""),""Demon "","""")&amp;IF(REGEXMATCH($E155,""bury|buries|Bury|Buries|Cleanse|puts a Unit|trail|Trail""),""Cont"&amp;"rol "","""")&amp;IF(REGEXMATCH($E155,""Bounce|Return|Copy|bounce|return|copy""),""Copy "","""")&amp;IF(REGEXMATCH($E155,""conquer|Conquer|leading in lanes|lead by""),""Aggro "","""")&amp;IF(REGEXMATCH($E155,""Ascend|ascend""),""Ascend "","""")&amp;IF(REGEXMATCH($E155,""B"&amp;"ury .+ Crystal|.*crystal.*bury""),""Empty-Crystal"","""")&amp;IF(REGEXMATCH($E155,""Move|move""),""Move"","""")"),"")</f>
        <v/>
      </c>
      <c r="G155" s="12" t="s">
        <v>783</v>
      </c>
      <c r="H155" s="11">
        <v>2.0</v>
      </c>
      <c r="I155" s="11" t="s">
        <v>697</v>
      </c>
      <c r="J155" s="11" t="s">
        <v>42</v>
      </c>
      <c r="L155" s="13" t="str">
        <f>IFERROR(__xludf.DUMMYFUNCTION("IF(REGEXMATCH($B155,L$1),$D155,"""")"),"Bannerbearer Undead Warrior")</f>
        <v>Bannerbearer Undead Warrior</v>
      </c>
      <c r="M155" s="13" t="str">
        <f>IFERROR(__xludf.DUMMYFUNCTION("IF(REGEXMATCH($B155,M$1),$D155,"""")"),"")</f>
        <v/>
      </c>
      <c r="N155" s="13" t="str">
        <f>IFERROR(__xludf.DUMMYFUNCTION("IF(REGEXMATCH($B155,N$1),$D155,"""")"),"Bannerbearer Undead Warrior")</f>
        <v>Bannerbearer Undead Warrior</v>
      </c>
      <c r="O155" s="13" t="str">
        <f>IFERROR(__xludf.DUMMYFUNCTION("IF(REGEXMATCH($B155,O$1),$D155,"""")"),"")</f>
        <v/>
      </c>
      <c r="P155" s="13" t="str">
        <f>IFERROR(__xludf.DUMMYFUNCTION("IF(REGEXMATCH($B155,P$1),$D155,"""")"),"")</f>
        <v/>
      </c>
      <c r="Q155" s="13">
        <f>IFERROR(__xludf.DUMMYFUNCTION("IF($A155="""","""",LEN(REGEXREPLACE($I155,"",\s?"","""")))"),2.0)</f>
        <v>2</v>
      </c>
      <c r="S155" s="13"/>
      <c r="T155" s="13"/>
      <c r="U155" s="13"/>
      <c r="V155" s="13"/>
      <c r="W155" s="13"/>
      <c r="X155" s="13"/>
      <c r="Y155" s="13"/>
      <c r="Z155" s="13"/>
      <c r="AA155" s="13"/>
      <c r="AB155" s="13"/>
    </row>
    <row r="156" hidden="1">
      <c r="A156" s="22" t="s">
        <v>784</v>
      </c>
      <c r="B156" s="70" t="s">
        <v>14</v>
      </c>
      <c r="C156" s="11">
        <v>2.0</v>
      </c>
      <c r="D156" s="11" t="s">
        <v>231</v>
      </c>
      <c r="E156" s="10" t="s">
        <v>785</v>
      </c>
      <c r="F156" s="10" t="str">
        <f>IFERROR(__xludf.DUMMYFUNCTION("IF(REGEXMATCH($E156,""Wizard""),""Wizard "","""")&amp;IF(REGEXMATCH($E156,""Construct""),""Construct "","""")&amp;IF(REGEXMATCH($E156,""Insect""),""Insect "","""")&amp;IF(REGEXMATCH($E156,""Dragon""),""Dragon "","""")&amp;IF(REGEXMATCH($E156,""Human""),""Human "","""")&amp;I"&amp;"F(REGEXMATCH($E156,""Hunter""),""Hunter "","""")&amp;IF(REGEXMATCH($E156,""Animal""),""Animal "","""")&amp;IF(REGEXMATCH($E156,""Undead""),""Undead "","""")&amp;IF(REGEXMATCH($E156,""Plant""),""Plant "","""")&amp;IF(REGEXMATCH($E156,""Dinosaur""),""Dinosaur "","""")&amp;IF(R"&amp;"EGEXMATCH($E156,""Warrior""),""Warrior "","""")&amp;IF(REGEXMATCH($E156,""Spirit""),""Spirit "","""")&amp;IF(REGEXMATCH($E156,""Angel""),""Angel "","""")&amp;IF(REGEXMATCH($E156,""Demon""),""Demon "","""")&amp;IF(REGEXMATCH($E156,""Divine""),""Divine "","""")&amp;IF(REGEXMAT"&amp;"CH($E156,""Elemental""),""Elemental "","""")&amp;IF(REGEXMATCH($E156,""Nature""),""Nature "","""")&amp;IF(REGEXMATCH($E156,""Mortal""),""Mortal "","""")&amp;IF(REGEXMATCH($E156,""Void""),""Void "","""")&amp;IF(REGEXMATCH($E156,""Unearth|Ambush|Ritual|unearth|ambush|ritua"&amp;"l""),""Unearth "","""")&amp;IF(REGEXMATCH($E156,""Unleash|Crystallize|all realms|Crystalborn|crystallize""),""Ramp "","""")&amp;IF(REGEXMATCH($E156,""Demon""),""Demon "","""")&amp;IF(REGEXMATCH($E156,""bury|buries|Bury|Buries|Cleanse|puts a Unit|trail|Trail""),""Cont"&amp;"rol "","""")&amp;IF(REGEXMATCH($E156,""Bounce|Return|Copy|bounce|return|copy""),""Copy "","""")&amp;IF(REGEXMATCH($E156,""conquer|Conquer|leading in lanes|lead by""),""Aggro "","""")&amp;IF(REGEXMATCH($E156,""Ascend|ascend""),""Ascend "","""")&amp;IF(REGEXMATCH($E156,""B"&amp;"ury .+ Crystal|.*crystal.*bury""),""Empty-Crystal"","""")&amp;IF(REGEXMATCH($E156,""Move|move""),""Move"","""")"),"Warrior ")</f>
        <v>Warrior </v>
      </c>
      <c r="G156" s="12" t="s">
        <v>786</v>
      </c>
      <c r="H156" s="11">
        <v>3.0</v>
      </c>
      <c r="I156" s="11" t="s">
        <v>738</v>
      </c>
      <c r="J156" s="11" t="s">
        <v>50</v>
      </c>
      <c r="L156" s="13" t="str">
        <f>IFERROR(__xludf.DUMMYFUNCTION("IF(REGEXMATCH($B156,L$1),$D156,"""")"),"")</f>
        <v/>
      </c>
      <c r="M156" s="13" t="str">
        <f>IFERROR(__xludf.DUMMYFUNCTION("IF(REGEXMATCH($B156,M$1),$D156,"""")"),"")</f>
        <v/>
      </c>
      <c r="N156" s="13" t="str">
        <f>IFERROR(__xludf.DUMMYFUNCTION("IF(REGEXMATCH($B156,N$1),$D156,"""")"),"")</f>
        <v/>
      </c>
      <c r="O156" s="13" t="str">
        <f>IFERROR(__xludf.DUMMYFUNCTION("IF(REGEXMATCH($B156,O$1),$D156,"""")"),"Spirit Warrior")</f>
        <v>Spirit Warrior</v>
      </c>
      <c r="P156" s="13" t="str">
        <f>IFERROR(__xludf.DUMMYFUNCTION("IF(REGEXMATCH($B156,P$1),$D156,"""")"),"")</f>
        <v/>
      </c>
      <c r="Q156" s="13">
        <f>IFERROR(__xludf.DUMMYFUNCTION("IF($A156="""","""",LEN(REGEXREPLACE($I156,"",\s?"","""")))"),3.0)</f>
        <v>3</v>
      </c>
      <c r="S156" s="13"/>
      <c r="T156" s="13"/>
      <c r="U156" s="13"/>
      <c r="V156" s="13"/>
      <c r="W156" s="13"/>
      <c r="X156" s="13"/>
      <c r="Y156" s="13"/>
      <c r="Z156" s="13"/>
      <c r="AA156" s="13"/>
      <c r="AB156" s="13"/>
    </row>
    <row r="157" hidden="1">
      <c r="A157" s="22" t="s">
        <v>787</v>
      </c>
      <c r="B157" s="70" t="s">
        <v>14</v>
      </c>
      <c r="C157" s="11">
        <v>2.0</v>
      </c>
      <c r="D157" s="11" t="s">
        <v>363</v>
      </c>
      <c r="E157" s="10" t="s">
        <v>788</v>
      </c>
      <c r="F157" s="10" t="str">
        <f>IFERROR(__xludf.DUMMYFUNCTION("IF(REGEXMATCH($E157,""Wizard""),""Wizard "","""")&amp;IF(REGEXMATCH($E157,""Construct""),""Construct "","""")&amp;IF(REGEXMATCH($E157,""Insect""),""Insect "","""")&amp;IF(REGEXMATCH($E157,""Dragon""),""Dragon "","""")&amp;IF(REGEXMATCH($E157,""Human""),""Human "","""")&amp;I"&amp;"F(REGEXMATCH($E157,""Hunter""),""Hunter "","""")&amp;IF(REGEXMATCH($E157,""Animal""),""Animal "","""")&amp;IF(REGEXMATCH($E157,""Undead""),""Undead "","""")&amp;IF(REGEXMATCH($E157,""Plant""),""Plant "","""")&amp;IF(REGEXMATCH($E157,""Dinosaur""),""Dinosaur "","""")&amp;IF(R"&amp;"EGEXMATCH($E157,""Warrior""),""Warrior "","""")&amp;IF(REGEXMATCH($E157,""Spirit""),""Spirit "","""")&amp;IF(REGEXMATCH($E157,""Angel""),""Angel "","""")&amp;IF(REGEXMATCH($E157,""Demon""),""Demon "","""")&amp;IF(REGEXMATCH($E157,""Divine""),""Divine "","""")&amp;IF(REGEXMAT"&amp;"CH($E157,""Elemental""),""Elemental "","""")&amp;IF(REGEXMATCH($E157,""Nature""),""Nature "","""")&amp;IF(REGEXMATCH($E157,""Mortal""),""Mortal "","""")&amp;IF(REGEXMATCH($E157,""Void""),""Void "","""")&amp;IF(REGEXMATCH($E157,""Unearth|Ambush|Ritual|unearth|ambush|ritua"&amp;"l""),""Unearth "","""")&amp;IF(REGEXMATCH($E157,""Unleash|Crystallize|all realms|Crystalborn|crystallize""),""Ramp "","""")&amp;IF(REGEXMATCH($E157,""Demon""),""Demon "","""")&amp;IF(REGEXMATCH($E157,""bury|buries|Bury|Buries|Cleanse|puts a Unit|trail|Trail""),""Cont"&amp;"rol "","""")&amp;IF(REGEXMATCH($E157,""Bounce|Return|Copy|bounce|return|copy""),""Copy "","""")&amp;IF(REGEXMATCH($E157,""conquer|Conquer|leading in lanes|lead by""),""Aggro "","""")&amp;IF(REGEXMATCH($E157,""Ascend|ascend""),""Ascend "","""")&amp;IF(REGEXMATCH($E157,""B"&amp;"ury .+ Crystal|.*crystal.*bury""),""Empty-Crystal"","""")&amp;IF(REGEXMATCH($E157,""Move|move""),""Move"","""")"),"")</f>
        <v/>
      </c>
      <c r="G157" s="12" t="s">
        <v>789</v>
      </c>
      <c r="H157" s="11">
        <v>2.0</v>
      </c>
      <c r="I157" s="11" t="s">
        <v>790</v>
      </c>
      <c r="J157" s="11" t="s">
        <v>42</v>
      </c>
      <c r="L157" s="13" t="str">
        <f>IFERROR(__xludf.DUMMYFUNCTION("IF(REGEXMATCH($B157,L$1),$D157,"""")"),"")</f>
        <v/>
      </c>
      <c r="M157" s="13" t="str">
        <f>IFERROR(__xludf.DUMMYFUNCTION("IF(REGEXMATCH($B157,M$1),$D157,"""")"),"")</f>
        <v/>
      </c>
      <c r="N157" s="13" t="str">
        <f>IFERROR(__xludf.DUMMYFUNCTION("IF(REGEXMATCH($B157,N$1),$D157,"""")"),"")</f>
        <v/>
      </c>
      <c r="O157" s="13" t="str">
        <f>IFERROR(__xludf.DUMMYFUNCTION("IF(REGEXMATCH($B157,O$1),$D157,"""")"),"Human Warrior")</f>
        <v>Human Warrior</v>
      </c>
      <c r="P157" s="13" t="str">
        <f>IFERROR(__xludf.DUMMYFUNCTION("IF(REGEXMATCH($B157,P$1),$D157,"""")"),"")</f>
        <v/>
      </c>
      <c r="Q157" s="13">
        <f>IFERROR(__xludf.DUMMYFUNCTION("IF($A157="""","""",LEN(REGEXREPLACE($I157,"",\s?"","""")))"),1.0)</f>
        <v>1</v>
      </c>
      <c r="S157" s="13"/>
      <c r="T157" s="13"/>
      <c r="U157" s="13"/>
      <c r="V157" s="13"/>
      <c r="W157" s="13"/>
      <c r="X157" s="13"/>
      <c r="Y157" s="13"/>
      <c r="Z157" s="13"/>
      <c r="AA157" s="13"/>
      <c r="AB157" s="13"/>
    </row>
    <row r="158" hidden="1">
      <c r="A158" s="19" t="s">
        <v>791</v>
      </c>
      <c r="B158" s="68" t="s">
        <v>14</v>
      </c>
      <c r="C158" s="18">
        <v>2.0</v>
      </c>
      <c r="D158" s="18" t="s">
        <v>221</v>
      </c>
      <c r="E158" s="19" t="s">
        <v>792</v>
      </c>
      <c r="F158" s="10" t="str">
        <f>IFERROR(__xludf.DUMMYFUNCTION("IF(REGEXMATCH($E158,""Wizard""),""Wizard "","""")&amp;IF(REGEXMATCH($E158,""Construct""),""Construct "","""")&amp;IF(REGEXMATCH($E158,""Insect""),""Insect "","""")&amp;IF(REGEXMATCH($E158,""Dragon""),""Dragon "","""")&amp;IF(REGEXMATCH($E158,""Human""),""Human "","""")&amp;I"&amp;"F(REGEXMATCH($E158,""Hunter""),""Hunter "","""")&amp;IF(REGEXMATCH($E158,""Animal""),""Animal "","""")&amp;IF(REGEXMATCH($E158,""Undead""),""Undead "","""")&amp;IF(REGEXMATCH($E158,""Plant""),""Plant "","""")&amp;IF(REGEXMATCH($E158,""Dinosaur""),""Dinosaur "","""")&amp;IF(R"&amp;"EGEXMATCH($E158,""Warrior""),""Warrior "","""")&amp;IF(REGEXMATCH($E158,""Spirit""),""Spirit "","""")&amp;IF(REGEXMATCH($E158,""Angel""),""Angel "","""")&amp;IF(REGEXMATCH($E158,""Demon""),""Demon "","""")&amp;IF(REGEXMATCH($E158,""Divine""),""Divine "","""")&amp;IF(REGEXMAT"&amp;"CH($E158,""Elemental""),""Elemental "","""")&amp;IF(REGEXMATCH($E158,""Nature""),""Nature "","""")&amp;IF(REGEXMATCH($E158,""Mortal""),""Mortal "","""")&amp;IF(REGEXMATCH($E158,""Void""),""Void "","""")&amp;IF(REGEXMATCH($E158,""Unearth|Ambush|Ritual|unearth|ambush|ritua"&amp;"l""),""Unearth "","""")&amp;IF(REGEXMATCH($E158,""Unleash|Crystallize|all realms|Crystalborn|crystallize""),""Ramp "","""")&amp;IF(REGEXMATCH($E158,""Demon""),""Demon "","""")&amp;IF(REGEXMATCH($E158,""bury|buries|Bury|Buries|Cleanse|puts a Unit|trail|Trail""),""Cont"&amp;"rol "","""")&amp;IF(REGEXMATCH($E158,""Bounce|Return|Copy|bounce|return|copy""),""Copy "","""")&amp;IF(REGEXMATCH($E158,""conquer|Conquer|leading in lanes|lead by""),""Aggro "","""")&amp;IF(REGEXMATCH($E158,""Ascend|ascend""),""Ascend "","""")&amp;IF(REGEXMATCH($E158,""B"&amp;"ury .+ Crystal|.*crystal.*bury""),""Empty-Crystal"","""")&amp;IF(REGEXMATCH($E158,""Move|move""),""Move"","""")"),"Aggro ")</f>
        <v>Aggro </v>
      </c>
      <c r="G158" s="20" t="s">
        <v>521</v>
      </c>
      <c r="H158" s="18">
        <v>4.0</v>
      </c>
      <c r="I158" s="18" t="s">
        <v>793</v>
      </c>
      <c r="J158" s="18" t="s">
        <v>50</v>
      </c>
      <c r="L158" s="13" t="str">
        <f>IFERROR(__xludf.DUMMYFUNCTION("IF(REGEXMATCH($B158,L$1),$D158,"""")"),"")</f>
        <v/>
      </c>
      <c r="M158" s="13" t="str">
        <f>IFERROR(__xludf.DUMMYFUNCTION("IF(REGEXMATCH($B158,M$1),$D158,"""")"),"")</f>
        <v/>
      </c>
      <c r="N158" s="13" t="str">
        <f>IFERROR(__xludf.DUMMYFUNCTION("IF(REGEXMATCH($B158,N$1),$D158,"""")"),"")</f>
        <v/>
      </c>
      <c r="O158" s="13" t="str">
        <f>IFERROR(__xludf.DUMMYFUNCTION("IF(REGEXMATCH($B158,O$1),$D158,"""")"),"Human Hunter")</f>
        <v>Human Hunter</v>
      </c>
      <c r="P158" s="13" t="str">
        <f>IFERROR(__xludf.DUMMYFUNCTION("IF(REGEXMATCH($B158,P$1),$D158,"""")"),"")</f>
        <v/>
      </c>
      <c r="Q158" s="13">
        <f>IFERROR(__xludf.DUMMYFUNCTION("IF($A158="""","""",LEN(REGEXREPLACE($I158,"",\s?"","""")))"),5.0)</f>
        <v>5</v>
      </c>
      <c r="S158" s="13"/>
      <c r="T158" s="13"/>
      <c r="U158" s="13"/>
      <c r="V158" s="13"/>
      <c r="W158" s="13"/>
      <c r="X158" s="13"/>
      <c r="Y158" s="13"/>
      <c r="Z158" s="13"/>
      <c r="AA158" s="13"/>
      <c r="AB158" s="13"/>
    </row>
    <row r="159" hidden="1">
      <c r="A159" s="22" t="s">
        <v>794</v>
      </c>
      <c r="B159" s="70" t="s">
        <v>14</v>
      </c>
      <c r="C159" s="11">
        <v>2.0</v>
      </c>
      <c r="D159" s="11" t="s">
        <v>231</v>
      </c>
      <c r="E159" s="10" t="s">
        <v>795</v>
      </c>
      <c r="F159" s="10" t="str">
        <f>IFERROR(__xludf.DUMMYFUNCTION("IF(REGEXMATCH($E159,""Wizard""),""Wizard "","""")&amp;IF(REGEXMATCH($E159,""Construct""),""Construct "","""")&amp;IF(REGEXMATCH($E159,""Insect""),""Insect "","""")&amp;IF(REGEXMATCH($E159,""Dragon""),""Dragon "","""")&amp;IF(REGEXMATCH($E159,""Human""),""Human "","""")&amp;I"&amp;"F(REGEXMATCH($E159,""Hunter""),""Hunter "","""")&amp;IF(REGEXMATCH($E159,""Animal""),""Animal "","""")&amp;IF(REGEXMATCH($E159,""Undead""),""Undead "","""")&amp;IF(REGEXMATCH($E159,""Plant""),""Plant "","""")&amp;IF(REGEXMATCH($E159,""Dinosaur""),""Dinosaur "","""")&amp;IF(R"&amp;"EGEXMATCH($E159,""Warrior""),""Warrior "","""")&amp;IF(REGEXMATCH($E159,""Spirit""),""Spirit "","""")&amp;IF(REGEXMATCH($E159,""Angel""),""Angel "","""")&amp;IF(REGEXMATCH($E159,""Demon""),""Demon "","""")&amp;IF(REGEXMATCH($E159,""Divine""),""Divine "","""")&amp;IF(REGEXMAT"&amp;"CH($E159,""Elemental""),""Elemental "","""")&amp;IF(REGEXMATCH($E159,""Nature""),""Nature "","""")&amp;IF(REGEXMATCH($E159,""Mortal""),""Mortal "","""")&amp;IF(REGEXMATCH($E159,""Void""),""Void "","""")&amp;IF(REGEXMATCH($E159,""Unearth|Ambush|Ritual|unearth|ambush|ritua"&amp;"l""),""Unearth "","""")&amp;IF(REGEXMATCH($E159,""Unleash|Crystallize|all realms|Crystalborn|crystallize""),""Ramp "","""")&amp;IF(REGEXMATCH($E159,""Demon""),""Demon "","""")&amp;IF(REGEXMATCH($E159,""bury|buries|Bury|Buries|Cleanse|puts a Unit|trail|Trail""),""Cont"&amp;"rol "","""")&amp;IF(REGEXMATCH($E159,""Bounce|Return|Copy|bounce|return|copy""),""Copy "","""")&amp;IF(REGEXMATCH($E159,""conquer|Conquer|leading in lanes|lead by""),""Aggro "","""")&amp;IF(REGEXMATCH($E159,""Ascend|ascend""),""Ascend "","""")&amp;IF(REGEXMATCH($E159,""B"&amp;"ury .+ Crystal|.*crystal.*bury""),""Empty-Crystal"","""")&amp;IF(REGEXMATCH($E159,""Move|move""),""Move"","""")"),"Ramp Aggro ")</f>
        <v>Ramp Aggro </v>
      </c>
      <c r="G159" s="12" t="s">
        <v>796</v>
      </c>
      <c r="H159" s="11">
        <v>4.0</v>
      </c>
      <c r="I159" s="11" t="s">
        <v>793</v>
      </c>
      <c r="J159" s="18" t="s">
        <v>50</v>
      </c>
      <c r="L159" s="13" t="str">
        <f>IFERROR(__xludf.DUMMYFUNCTION("IF(REGEXMATCH($B159,L$1),$D159,"""")"),"")</f>
        <v/>
      </c>
      <c r="M159" s="13" t="str">
        <f>IFERROR(__xludf.DUMMYFUNCTION("IF(REGEXMATCH($B159,M$1),$D159,"""")"),"")</f>
        <v/>
      </c>
      <c r="N159" s="13" t="str">
        <f>IFERROR(__xludf.DUMMYFUNCTION("IF(REGEXMATCH($B159,N$1),$D159,"""")"),"")</f>
        <v/>
      </c>
      <c r="O159" s="13" t="str">
        <f>IFERROR(__xludf.DUMMYFUNCTION("IF(REGEXMATCH($B159,O$1),$D159,"""")"),"Spirit Warrior")</f>
        <v>Spirit Warrior</v>
      </c>
      <c r="P159" s="13" t="str">
        <f>IFERROR(__xludf.DUMMYFUNCTION("IF(REGEXMATCH($B159,P$1),$D159,"""")"),"")</f>
        <v/>
      </c>
      <c r="Q159" s="13">
        <f>IFERROR(__xludf.DUMMYFUNCTION("IF($A159="""","""",LEN(REGEXREPLACE($I159,"",\s?"","""")))"),5.0)</f>
        <v>5</v>
      </c>
      <c r="S159" s="13"/>
      <c r="T159" s="13"/>
      <c r="U159" s="13"/>
      <c r="V159" s="13"/>
      <c r="W159" s="13"/>
      <c r="X159" s="13"/>
      <c r="Y159" s="13"/>
      <c r="Z159" s="13"/>
      <c r="AA159" s="13"/>
      <c r="AB159" s="13"/>
    </row>
    <row r="160" hidden="1">
      <c r="A160" s="19" t="s">
        <v>797</v>
      </c>
      <c r="B160" s="68" t="s">
        <v>14</v>
      </c>
      <c r="C160" s="18">
        <v>2.0</v>
      </c>
      <c r="D160" s="18" t="s">
        <v>44</v>
      </c>
      <c r="E160" s="19" t="s">
        <v>798</v>
      </c>
      <c r="F160" s="10" t="str">
        <f>IFERROR(__xludf.DUMMYFUNCTION("IF(REGEXMATCH($E160,""Wizard""),""Wizard "","""")&amp;IF(REGEXMATCH($E160,""Construct""),""Construct "","""")&amp;IF(REGEXMATCH($E160,""Insect""),""Insect "","""")&amp;IF(REGEXMATCH($E160,""Dragon""),""Dragon "","""")&amp;IF(REGEXMATCH($E160,""Human""),""Human "","""")&amp;I"&amp;"F(REGEXMATCH($E160,""Hunter""),""Hunter "","""")&amp;IF(REGEXMATCH($E160,""Animal""),""Animal "","""")&amp;IF(REGEXMATCH($E160,""Undead""),""Undead "","""")&amp;IF(REGEXMATCH($E160,""Plant""),""Plant "","""")&amp;IF(REGEXMATCH($E160,""Dinosaur""),""Dinosaur "","""")&amp;IF(R"&amp;"EGEXMATCH($E160,""Warrior""),""Warrior "","""")&amp;IF(REGEXMATCH($E160,""Spirit""),""Spirit "","""")&amp;IF(REGEXMATCH($E160,""Angel""),""Angel "","""")&amp;IF(REGEXMATCH($E160,""Demon""),""Demon "","""")&amp;IF(REGEXMATCH($E160,""Divine""),""Divine "","""")&amp;IF(REGEXMAT"&amp;"CH($E160,""Elemental""),""Elemental "","""")&amp;IF(REGEXMATCH($E160,""Nature""),""Nature "","""")&amp;IF(REGEXMATCH($E160,""Mortal""),""Mortal "","""")&amp;IF(REGEXMATCH($E160,""Void""),""Void "","""")&amp;IF(REGEXMATCH($E160,""Unearth|Ambush|Ritual|unearth|ambush|ritua"&amp;"l""),""Unearth "","""")&amp;IF(REGEXMATCH($E160,""Unleash|Crystallize|all realms|Crystalborn|crystallize""),""Ramp "","""")&amp;IF(REGEXMATCH($E160,""Demon""),""Demon "","""")&amp;IF(REGEXMATCH($E160,""bury|buries|Bury|Buries|Cleanse|puts a Unit|trail|Trail""),""Cont"&amp;"rol "","""")&amp;IF(REGEXMATCH($E160,""Bounce|Return|Copy|bounce|return|copy""),""Copy "","""")&amp;IF(REGEXMATCH($E160,""conquer|Conquer|leading in lanes|lead by""),""Aggro "","""")&amp;IF(REGEXMATCH($E160,""Ascend|ascend""),""Ascend "","""")&amp;IF(REGEXMATCH($E160,""B"&amp;"ury .+ Crystal|.*crystal.*bury""),""Empty-Crystal"","""")&amp;IF(REGEXMATCH($E160,""Move|move""),""Move"","""")"),"Aggro ")</f>
        <v>Aggro </v>
      </c>
      <c r="G160" s="20" t="s">
        <v>799</v>
      </c>
      <c r="H160" s="18">
        <v>1.0</v>
      </c>
      <c r="I160" s="18" t="s">
        <v>790</v>
      </c>
      <c r="J160" s="18" t="s">
        <v>42</v>
      </c>
      <c r="L160" s="13" t="str">
        <f>IFERROR(__xludf.DUMMYFUNCTION("IF(REGEXMATCH($B160,L$1),$D160,"""")"),"")</f>
        <v/>
      </c>
      <c r="M160" s="13" t="str">
        <f>IFERROR(__xludf.DUMMYFUNCTION("IF(REGEXMATCH($B160,M$1),$D160,"""")"),"")</f>
        <v/>
      </c>
      <c r="N160" s="13" t="str">
        <f>IFERROR(__xludf.DUMMYFUNCTION("IF(REGEXMATCH($B160,N$1),$D160,"""")"),"")</f>
        <v/>
      </c>
      <c r="O160" s="13" t="str">
        <f>IFERROR(__xludf.DUMMYFUNCTION("IF(REGEXMATCH($B160,O$1),$D160,"""")"),"Human")</f>
        <v>Human</v>
      </c>
      <c r="P160" s="13" t="str">
        <f>IFERROR(__xludf.DUMMYFUNCTION("IF(REGEXMATCH($B160,P$1),$D160,"""")"),"")</f>
        <v/>
      </c>
      <c r="Q160" s="13">
        <f>IFERROR(__xludf.DUMMYFUNCTION("IF($A160="""","""",LEN(REGEXREPLACE($I160,"",\s?"","""")))"),1.0)</f>
        <v>1</v>
      </c>
      <c r="S160" s="13"/>
      <c r="T160" s="13"/>
      <c r="U160" s="13"/>
      <c r="V160" s="13"/>
      <c r="W160" s="13"/>
      <c r="X160" s="13"/>
      <c r="Y160" s="13"/>
      <c r="Z160" s="13"/>
      <c r="AA160" s="13"/>
      <c r="AB160" s="13"/>
    </row>
    <row r="161">
      <c r="A161" s="10" t="s">
        <v>800</v>
      </c>
      <c r="B161" s="42" t="s">
        <v>694</v>
      </c>
      <c r="C161" s="11">
        <v>1.0</v>
      </c>
      <c r="D161" s="11" t="s">
        <v>636</v>
      </c>
      <c r="E161" s="10" t="s">
        <v>801</v>
      </c>
      <c r="F161" s="10" t="str">
        <f>IFERROR(__xludf.DUMMYFUNCTION("IF(REGEXMATCH($E161,""Wizard""),""Wizard "","""")&amp;IF(REGEXMATCH($E161,""Construct""),""Construct "","""")&amp;IF(REGEXMATCH($E161,""Insect""),""Insect "","""")&amp;IF(REGEXMATCH($E161,""Dragon""),""Dragon "","""")&amp;IF(REGEXMATCH($E161,""Human""),""Human "","""")&amp;I"&amp;"F(REGEXMATCH($E161,""Hunter""),""Hunter "","""")&amp;IF(REGEXMATCH($E161,""Animal""),""Animal "","""")&amp;IF(REGEXMATCH($E161,""Undead""),""Undead "","""")&amp;IF(REGEXMATCH($E161,""Plant""),""Plant "","""")&amp;IF(REGEXMATCH($E161,""Dinosaur""),""Dinosaur "","""")&amp;IF(R"&amp;"EGEXMATCH($E161,""Warrior""),""Warrior "","""")&amp;IF(REGEXMATCH($E161,""Spirit""),""Spirit "","""")&amp;IF(REGEXMATCH($E161,""Angel""),""Angel "","""")&amp;IF(REGEXMATCH($E161,""Demon""),""Demon "","""")&amp;IF(REGEXMATCH($E161,""Divine""),""Divine "","""")&amp;IF(REGEXMAT"&amp;"CH($E161,""Elemental""),""Elemental "","""")&amp;IF(REGEXMATCH($E161,""Nature""),""Nature "","""")&amp;IF(REGEXMATCH($E161,""Mortal""),""Mortal "","""")&amp;IF(REGEXMATCH($E161,""Void""),""Void "","""")&amp;IF(REGEXMATCH($E161,""Unearth|Ambush|Ritual|unearth|ambush|ritua"&amp;"l""),""Unearth "","""")&amp;IF(REGEXMATCH($E161,""Unleash|Crystallize|all realms|Crystalborn|crystallize""),""Ramp "","""")&amp;IF(REGEXMATCH($E161,""Demon""),""Demon "","""")&amp;IF(REGEXMATCH($E161,""bury|buries|Bury|Buries|Cleanse|puts a Unit|trail|Trail""),""Cont"&amp;"rol "","""")&amp;IF(REGEXMATCH($E161,""Bounce|Return|Copy|bounce|return|copy""),""Copy "","""")&amp;IF(REGEXMATCH($E161,""conquer|Conquer|leading in lanes|lead by""),""Aggro "","""")&amp;IF(REGEXMATCH($E161,""Ascend|ascend""),""Ascend "","""")&amp;IF(REGEXMATCH($E161,""B"&amp;"ury .+ Crystal|.*crystal.*bury""),""Empty-Crystal"","""")&amp;IF(REGEXMATCH($E161,""Move|move""),""Move"","""")"),"")</f>
        <v/>
      </c>
      <c r="G161" s="12" t="s">
        <v>802</v>
      </c>
      <c r="H161" s="11">
        <v>5.0</v>
      </c>
      <c r="I161" s="11" t="s">
        <v>803</v>
      </c>
      <c r="J161" s="11" t="s">
        <v>33</v>
      </c>
      <c r="L161" s="13" t="str">
        <f>IFERROR(__xludf.DUMMYFUNCTION("IF(REGEXMATCH($B161,L$1),$D161,"""")"),"Demon Dragon")</f>
        <v>Demon Dragon</v>
      </c>
      <c r="M161" s="13" t="str">
        <f>IFERROR(__xludf.DUMMYFUNCTION("IF(REGEXMATCH($B161,M$1),$D161,"""")"),"")</f>
        <v/>
      </c>
      <c r="N161" s="13" t="str">
        <f>IFERROR(__xludf.DUMMYFUNCTION("IF(REGEXMATCH($B161,N$1),$D161,"""")"),"Demon Dragon")</f>
        <v>Demon Dragon</v>
      </c>
      <c r="O161" s="13" t="str">
        <f>IFERROR(__xludf.DUMMYFUNCTION("IF(REGEXMATCH($B161,O$1),$D161,"""")"),"")</f>
        <v/>
      </c>
      <c r="P161" s="13" t="str">
        <f>IFERROR(__xludf.DUMMYFUNCTION("IF(REGEXMATCH($B161,P$1),$D161,"""")"),"")</f>
        <v/>
      </c>
      <c r="Q161" s="13">
        <f>IFERROR(__xludf.DUMMYFUNCTION("IF($A161="""","""",LEN(REGEXREPLACE($I161,"",\s?"","""")))"),4.0)</f>
        <v>4</v>
      </c>
      <c r="S161" s="13"/>
      <c r="T161" s="13"/>
      <c r="U161" s="13"/>
      <c r="V161" s="13"/>
      <c r="W161" s="13"/>
      <c r="X161" s="13"/>
      <c r="Y161" s="13"/>
      <c r="Z161" s="13"/>
      <c r="AA161" s="13"/>
      <c r="AB161" s="13"/>
    </row>
    <row r="162" hidden="1">
      <c r="A162" s="19" t="s">
        <v>804</v>
      </c>
      <c r="B162" s="72" t="s">
        <v>14</v>
      </c>
      <c r="C162" s="18">
        <v>2.0</v>
      </c>
      <c r="D162" s="18" t="s">
        <v>221</v>
      </c>
      <c r="E162" s="19" t="s">
        <v>805</v>
      </c>
      <c r="F162" s="10" t="str">
        <f>IFERROR(__xludf.DUMMYFUNCTION("IF(REGEXMATCH($E162,""Wizard""),""Wizard "","""")&amp;IF(REGEXMATCH($E162,""Construct""),""Construct "","""")&amp;IF(REGEXMATCH($E162,""Insect""),""Insect "","""")&amp;IF(REGEXMATCH($E162,""Dragon""),""Dragon "","""")&amp;IF(REGEXMATCH($E162,""Human""),""Human "","""")&amp;I"&amp;"F(REGEXMATCH($E162,""Hunter""),""Hunter "","""")&amp;IF(REGEXMATCH($E162,""Animal""),""Animal "","""")&amp;IF(REGEXMATCH($E162,""Undead""),""Undead "","""")&amp;IF(REGEXMATCH($E162,""Plant""),""Plant "","""")&amp;IF(REGEXMATCH($E162,""Dinosaur""),""Dinosaur "","""")&amp;IF(R"&amp;"EGEXMATCH($E162,""Warrior""),""Warrior "","""")&amp;IF(REGEXMATCH($E162,""Spirit""),""Spirit "","""")&amp;IF(REGEXMATCH($E162,""Angel""),""Angel "","""")&amp;IF(REGEXMATCH($E162,""Demon""),""Demon "","""")&amp;IF(REGEXMATCH($E162,""Divine""),""Divine "","""")&amp;IF(REGEXMAT"&amp;"CH($E162,""Elemental""),""Elemental "","""")&amp;IF(REGEXMATCH($E162,""Nature""),""Nature "","""")&amp;IF(REGEXMATCH($E162,""Mortal""),""Mortal "","""")&amp;IF(REGEXMATCH($E162,""Void""),""Void "","""")&amp;IF(REGEXMATCH($E162,""Unearth|Ambush|Ritual|unearth|ambush|ritua"&amp;"l""),""Unearth "","""")&amp;IF(REGEXMATCH($E162,""Unleash|Crystallize|all realms|Crystalborn|crystallize""),""Ramp "","""")&amp;IF(REGEXMATCH($E162,""Demon""),""Demon "","""")&amp;IF(REGEXMATCH($E162,""bury|buries|Bury|Buries|Cleanse|puts a Unit|trail|Trail""),""Cont"&amp;"rol "","""")&amp;IF(REGEXMATCH($E162,""Bounce|Return|Copy|bounce|return|copy""),""Copy "","""")&amp;IF(REGEXMATCH($E162,""conquer|Conquer|leading in lanes|lead by""),""Aggro "","""")&amp;IF(REGEXMATCH($E162,""Ascend|ascend""),""Ascend "","""")&amp;IF(REGEXMATCH($E162,""B"&amp;"ury .+ Crystal|.*crystal.*bury""),""Empty-Crystal"","""")&amp;IF(REGEXMATCH($E162,""Move|move""),""Move"","""")"),"")</f>
        <v/>
      </c>
      <c r="G162" s="20" t="s">
        <v>806</v>
      </c>
      <c r="H162" s="18">
        <v>3.0</v>
      </c>
      <c r="I162" s="18" t="s">
        <v>793</v>
      </c>
      <c r="J162" s="18" t="s">
        <v>42</v>
      </c>
      <c r="L162" s="13" t="str">
        <f>IFERROR(__xludf.DUMMYFUNCTION("IF(REGEXMATCH($B162,L$1),$D162,"""")"),"")</f>
        <v/>
      </c>
      <c r="M162" s="13" t="str">
        <f>IFERROR(__xludf.DUMMYFUNCTION("IF(REGEXMATCH($B162,M$1),$D162,"""")"),"")</f>
        <v/>
      </c>
      <c r="N162" s="13" t="str">
        <f>IFERROR(__xludf.DUMMYFUNCTION("IF(REGEXMATCH($B162,N$1),$D162,"""")"),"")</f>
        <v/>
      </c>
      <c r="O162" s="13" t="str">
        <f>IFERROR(__xludf.DUMMYFUNCTION("IF(REGEXMATCH($B162,O$1),$D162,"""")"),"Human Hunter")</f>
        <v>Human Hunter</v>
      </c>
      <c r="P162" s="13" t="str">
        <f>IFERROR(__xludf.DUMMYFUNCTION("IF(REGEXMATCH($B162,P$1),$D162,"""")"),"")</f>
        <v/>
      </c>
      <c r="Q162" s="13">
        <f>IFERROR(__xludf.DUMMYFUNCTION("IF($A162="""","""",LEN(REGEXREPLACE($I162,"",\s?"","""")))"),5.0)</f>
        <v>5</v>
      </c>
      <c r="S162" s="13"/>
      <c r="T162" s="13"/>
      <c r="U162" s="13"/>
      <c r="V162" s="13"/>
      <c r="W162" s="13"/>
      <c r="X162" s="13"/>
      <c r="Y162" s="13"/>
      <c r="Z162" s="13"/>
      <c r="AA162" s="13"/>
      <c r="AB162" s="13"/>
    </row>
    <row r="163" hidden="1">
      <c r="A163" s="46" t="s">
        <v>807</v>
      </c>
      <c r="B163" s="73" t="s">
        <v>14</v>
      </c>
      <c r="C163" s="11">
        <v>2.0</v>
      </c>
      <c r="D163" s="11" t="s">
        <v>345</v>
      </c>
      <c r="E163" s="10" t="s">
        <v>808</v>
      </c>
      <c r="F163" s="10" t="str">
        <f>IFERROR(__xludf.DUMMYFUNCTION("IF(REGEXMATCH($E163,""Wizard""),""Wizard "","""")&amp;IF(REGEXMATCH($E163,""Construct""),""Construct "","""")&amp;IF(REGEXMATCH($E163,""Insect""),""Insect "","""")&amp;IF(REGEXMATCH($E163,""Dragon""),""Dragon "","""")&amp;IF(REGEXMATCH($E163,""Human""),""Human "","""")&amp;I"&amp;"F(REGEXMATCH($E163,""Hunter""),""Hunter "","""")&amp;IF(REGEXMATCH($E163,""Animal""),""Animal "","""")&amp;IF(REGEXMATCH($E163,""Undead""),""Undead "","""")&amp;IF(REGEXMATCH($E163,""Plant""),""Plant "","""")&amp;IF(REGEXMATCH($E163,""Dinosaur""),""Dinosaur "","""")&amp;IF(R"&amp;"EGEXMATCH($E163,""Warrior""),""Warrior "","""")&amp;IF(REGEXMATCH($E163,""Spirit""),""Spirit "","""")&amp;IF(REGEXMATCH($E163,""Angel""),""Angel "","""")&amp;IF(REGEXMATCH($E163,""Demon""),""Demon "","""")&amp;IF(REGEXMATCH($E163,""Divine""),""Divine "","""")&amp;IF(REGEXMAT"&amp;"CH($E163,""Elemental""),""Elemental "","""")&amp;IF(REGEXMATCH($E163,""Nature""),""Nature "","""")&amp;IF(REGEXMATCH($E163,""Mortal""),""Mortal "","""")&amp;IF(REGEXMATCH($E163,""Void""),""Void "","""")&amp;IF(REGEXMATCH($E163,""Unearth|Ambush|Ritual|unearth|ambush|ritua"&amp;"l""),""Unearth "","""")&amp;IF(REGEXMATCH($E163,""Unleash|Crystallize|all realms|Crystalborn|crystallize""),""Ramp "","""")&amp;IF(REGEXMATCH($E163,""Demon""),""Demon "","""")&amp;IF(REGEXMATCH($E163,""bury|buries|Bury|Buries|Cleanse|puts a Unit|trail|Trail""),""Cont"&amp;"rol "","""")&amp;IF(REGEXMATCH($E163,""Bounce|Return|Copy|bounce|return|copy""),""Copy "","""")&amp;IF(REGEXMATCH($E163,""conquer|Conquer|leading in lanes|lead by""),""Aggro "","""")&amp;IF(REGEXMATCH($E163,""Ascend|ascend""),""Ascend "","""")&amp;IF(REGEXMATCH($E163,""B"&amp;"ury .+ Crystal|.*crystal.*bury""),""Empty-Crystal"","""")&amp;IF(REGEXMATCH($E163,""Move|move""),""Move"","""")"),"Mortal Copy ")</f>
        <v>Mortal Copy </v>
      </c>
      <c r="G163" s="12" t="s">
        <v>809</v>
      </c>
      <c r="H163" s="11">
        <v>3.0</v>
      </c>
      <c r="I163" s="11" t="s">
        <v>767</v>
      </c>
      <c r="J163" s="11" t="s">
        <v>50</v>
      </c>
      <c r="L163" s="13" t="str">
        <f>IFERROR(__xludf.DUMMYFUNCTION("IF(REGEXMATCH($B163,L$1),$D163,"""")"),"")</f>
        <v/>
      </c>
      <c r="M163" s="13" t="str">
        <f>IFERROR(__xludf.DUMMYFUNCTION("IF(REGEXMATCH($B163,M$1),$D163,"""")"),"")</f>
        <v/>
      </c>
      <c r="N163" s="13" t="str">
        <f>IFERROR(__xludf.DUMMYFUNCTION("IF(REGEXMATCH($B163,N$1),$D163,"""")"),"")</f>
        <v/>
      </c>
      <c r="O163" s="13" t="str">
        <f>IFERROR(__xludf.DUMMYFUNCTION("IF(REGEXMATCH($B163,O$1),$D163,"""")"),"Human Wizard")</f>
        <v>Human Wizard</v>
      </c>
      <c r="P163" s="13" t="str">
        <f>IFERROR(__xludf.DUMMYFUNCTION("IF(REGEXMATCH($B163,P$1),$D163,"""")"),"")</f>
        <v/>
      </c>
      <c r="Q163" s="13">
        <f>IFERROR(__xludf.DUMMYFUNCTION("IF($A163="""","""",LEN(REGEXREPLACE($I163,"",\s?"","""")))"),4.0)</f>
        <v>4</v>
      </c>
      <c r="S163" s="13"/>
      <c r="T163" s="13"/>
      <c r="U163" s="13"/>
      <c r="V163" s="13"/>
      <c r="W163" s="13"/>
      <c r="X163" s="13"/>
      <c r="Y163" s="13"/>
      <c r="Z163" s="13"/>
      <c r="AA163" s="13"/>
      <c r="AB163" s="13"/>
    </row>
    <row r="164" hidden="1">
      <c r="A164" s="22" t="s">
        <v>810</v>
      </c>
      <c r="B164" s="73" t="s">
        <v>14</v>
      </c>
      <c r="C164" s="18">
        <v>2.0</v>
      </c>
      <c r="D164" s="11" t="s">
        <v>125</v>
      </c>
      <c r="E164" s="10" t="s">
        <v>811</v>
      </c>
      <c r="F164" s="10" t="str">
        <f>IFERROR(__xludf.DUMMYFUNCTION("IF(REGEXMATCH($E164,""Wizard""),""Wizard "","""")&amp;IF(REGEXMATCH($E164,""Construct""),""Construct "","""")&amp;IF(REGEXMATCH($E164,""Insect""),""Insect "","""")&amp;IF(REGEXMATCH($E164,""Dragon""),""Dragon "","""")&amp;IF(REGEXMATCH($E164,""Human""),""Human "","""")&amp;I"&amp;"F(REGEXMATCH($E164,""Hunter""),""Hunter "","""")&amp;IF(REGEXMATCH($E164,""Animal""),""Animal "","""")&amp;IF(REGEXMATCH($E164,""Undead""),""Undead "","""")&amp;IF(REGEXMATCH($E164,""Plant""),""Plant "","""")&amp;IF(REGEXMATCH($E164,""Dinosaur""),""Dinosaur "","""")&amp;IF(R"&amp;"EGEXMATCH($E164,""Warrior""),""Warrior "","""")&amp;IF(REGEXMATCH($E164,""Spirit""),""Spirit "","""")&amp;IF(REGEXMATCH($E164,""Angel""),""Angel "","""")&amp;IF(REGEXMATCH($E164,""Demon""),""Demon "","""")&amp;IF(REGEXMATCH($E164,""Divine""),""Divine "","""")&amp;IF(REGEXMAT"&amp;"CH($E164,""Elemental""),""Elemental "","""")&amp;IF(REGEXMATCH($E164,""Nature""),""Nature "","""")&amp;IF(REGEXMATCH($E164,""Mortal""),""Mortal "","""")&amp;IF(REGEXMATCH($E164,""Void""),""Void "","""")&amp;IF(REGEXMATCH($E164,""Unearth|Ambush|Ritual|unearth|ambush|ritua"&amp;"l""),""Unearth "","""")&amp;IF(REGEXMATCH($E164,""Unleash|Crystallize|all realms|Crystalborn|crystallize""),""Ramp "","""")&amp;IF(REGEXMATCH($E164,""Demon""),""Demon "","""")&amp;IF(REGEXMATCH($E164,""bury|buries|Bury|Buries|Cleanse|puts a Unit|trail|Trail""),""Cont"&amp;"rol "","""")&amp;IF(REGEXMATCH($E164,""Bounce|Return|Copy|bounce|return|copy""),""Copy "","""")&amp;IF(REGEXMATCH($E164,""conquer|Conquer|leading in lanes|lead by""),""Aggro "","""")&amp;IF(REGEXMATCH($E164,""Ascend|ascend""),""Ascend "","""")&amp;IF(REGEXMATCH($E164,""B"&amp;"ury .+ Crystal|.*crystal.*bury""),""Empty-Crystal"","""")&amp;IF(REGEXMATCH($E164,""Move|move""),""Move"","""")"),"Ramp Aggro ")</f>
        <v>Ramp Aggro </v>
      </c>
      <c r="G164" s="12" t="s">
        <v>812</v>
      </c>
      <c r="H164" s="11">
        <v>3.0</v>
      </c>
      <c r="I164" s="11" t="s">
        <v>767</v>
      </c>
      <c r="J164" s="11" t="s">
        <v>50</v>
      </c>
      <c r="L164" s="13" t="str">
        <f>IFERROR(__xludf.DUMMYFUNCTION("IF(REGEXMATCH($B164,L$1),$D164,"""")"),"")</f>
        <v/>
      </c>
      <c r="M164" s="13" t="str">
        <f>IFERROR(__xludf.DUMMYFUNCTION("IF(REGEXMATCH($B164,M$1),$D164,"""")"),"")</f>
        <v/>
      </c>
      <c r="N164" s="13" t="str">
        <f>IFERROR(__xludf.DUMMYFUNCTION("IF(REGEXMATCH($B164,N$1),$D164,"""")"),"")</f>
        <v/>
      </c>
      <c r="O164" s="13" t="str">
        <f>IFERROR(__xludf.DUMMYFUNCTION("IF(REGEXMATCH($B164,O$1),$D164,"""")"),"Construct")</f>
        <v>Construct</v>
      </c>
      <c r="P164" s="13" t="str">
        <f>IFERROR(__xludf.DUMMYFUNCTION("IF(REGEXMATCH($B164,P$1),$D164,"""")"),"")</f>
        <v/>
      </c>
      <c r="Q164" s="13">
        <f>IFERROR(__xludf.DUMMYFUNCTION("IF($A164="""","""",LEN(REGEXREPLACE($I164,"",\s?"","""")))"),4.0)</f>
        <v>4</v>
      </c>
      <c r="S164" s="13"/>
      <c r="T164" s="13"/>
      <c r="U164" s="13"/>
      <c r="V164" s="13"/>
      <c r="W164" s="13"/>
      <c r="X164" s="13"/>
      <c r="Y164" s="13"/>
      <c r="Z164" s="13"/>
      <c r="AA164" s="13"/>
      <c r="AB164" s="13"/>
    </row>
    <row r="165">
      <c r="A165" s="10" t="s">
        <v>813</v>
      </c>
      <c r="B165" s="10" t="s">
        <v>694</v>
      </c>
      <c r="C165" s="18">
        <v>1.0</v>
      </c>
      <c r="D165" s="11" t="s">
        <v>814</v>
      </c>
      <c r="E165" s="10" t="s">
        <v>815</v>
      </c>
      <c r="F165" s="10" t="str">
        <f>IFERROR(__xludf.DUMMYFUNCTION("IF(REGEXMATCH($E165,""Wizard""),""Wizard "","""")&amp;IF(REGEXMATCH($E165,""Construct""),""Construct "","""")&amp;IF(REGEXMATCH($E165,""Insect""),""Insect "","""")&amp;IF(REGEXMATCH($E165,""Dragon""),""Dragon "","""")&amp;IF(REGEXMATCH($E165,""Human""),""Human "","""")&amp;I"&amp;"F(REGEXMATCH($E165,""Hunter""),""Hunter "","""")&amp;IF(REGEXMATCH($E165,""Animal""),""Animal "","""")&amp;IF(REGEXMATCH($E165,""Undead""),""Undead "","""")&amp;IF(REGEXMATCH($E165,""Plant""),""Plant "","""")&amp;IF(REGEXMATCH($E165,""Dinosaur""),""Dinosaur "","""")&amp;IF(R"&amp;"EGEXMATCH($E165,""Warrior""),""Warrior "","""")&amp;IF(REGEXMATCH($E165,""Spirit""),""Spirit "","""")&amp;IF(REGEXMATCH($E165,""Angel""),""Angel "","""")&amp;IF(REGEXMATCH($E165,""Demon""),""Demon "","""")&amp;IF(REGEXMATCH($E165,""Divine""),""Divine "","""")&amp;IF(REGEXMAT"&amp;"CH($E165,""Elemental""),""Elemental "","""")&amp;IF(REGEXMATCH($E165,""Nature""),""Nature "","""")&amp;IF(REGEXMATCH($E165,""Mortal""),""Mortal "","""")&amp;IF(REGEXMATCH($E165,""Void""),""Void "","""")&amp;IF(REGEXMATCH($E165,""Unearth|Ambush|Ritual|unearth|ambush|ritua"&amp;"l""),""Unearth "","""")&amp;IF(REGEXMATCH($E165,""Unleash|Crystallize|all realms|Crystalborn|crystallize""),""Ramp "","""")&amp;IF(REGEXMATCH($E165,""Demon""),""Demon "","""")&amp;IF(REGEXMATCH($E165,""bury|buries|Bury|Buries|Cleanse|puts a Unit|trail|Trail""),""Cont"&amp;"rol "","""")&amp;IF(REGEXMATCH($E165,""Bounce|Return|Copy|bounce|return|copy""),""Copy "","""")&amp;IF(REGEXMATCH($E165,""conquer|Conquer|leading in lanes|lead by""),""Aggro "","""")&amp;IF(REGEXMATCH($E165,""Ascend|ascend""),""Ascend "","""")&amp;IF(REGEXMATCH($E165,""B"&amp;"ury .+ Crystal|.*crystal.*bury""),""Empty-Crystal"","""")&amp;IF(REGEXMATCH($E165,""Move|move""),""Move"","""")"),"Unearth Aggro ")</f>
        <v>Unearth Aggro </v>
      </c>
      <c r="G165" s="12" t="s">
        <v>816</v>
      </c>
      <c r="H165" s="11">
        <v>5.0</v>
      </c>
      <c r="I165" s="11" t="s">
        <v>702</v>
      </c>
      <c r="J165" s="11" t="s">
        <v>50</v>
      </c>
      <c r="L165" s="13" t="str">
        <f>IFERROR(__xludf.DUMMYFUNCTION("IF(REGEXMATCH($B165,L$1),$D165,"""")"),"Undead")</f>
        <v>Undead</v>
      </c>
      <c r="M165" s="13" t="str">
        <f>IFERROR(__xludf.DUMMYFUNCTION("IF(REGEXMATCH($B165,M$1),$D165,"""")"),"")</f>
        <v/>
      </c>
      <c r="N165" s="13" t="str">
        <f>IFERROR(__xludf.DUMMYFUNCTION("IF(REGEXMATCH($B165,N$1),$D165,"""")"),"Undead")</f>
        <v>Undead</v>
      </c>
      <c r="O165" s="13" t="str">
        <f>IFERROR(__xludf.DUMMYFUNCTION("IF(REGEXMATCH($B165,O$1),$D165,"""")"),"")</f>
        <v/>
      </c>
      <c r="P165" s="13" t="str">
        <f>IFERROR(__xludf.DUMMYFUNCTION("IF(REGEXMATCH($B165,P$1),$D165,"""")"),"")</f>
        <v/>
      </c>
      <c r="Q165" s="13">
        <f>IFERROR(__xludf.DUMMYFUNCTION("IF($A165="""","""",LEN(REGEXREPLACE($I165,"",\s?"","""")))"),5.0)</f>
        <v>5</v>
      </c>
      <c r="S165" s="13"/>
      <c r="T165" s="13"/>
      <c r="U165" s="13"/>
      <c r="V165" s="13"/>
      <c r="W165" s="13"/>
      <c r="X165" s="13"/>
      <c r="Y165" s="13"/>
      <c r="Z165" s="13"/>
      <c r="AA165" s="13"/>
      <c r="AB165" s="13"/>
    </row>
    <row r="166" hidden="1">
      <c r="A166" s="10" t="s">
        <v>817</v>
      </c>
      <c r="B166" s="73" t="s">
        <v>14</v>
      </c>
      <c r="C166" s="18">
        <v>2.0</v>
      </c>
      <c r="D166" s="11" t="s">
        <v>44</v>
      </c>
      <c r="E166" s="74" t="s">
        <v>818</v>
      </c>
      <c r="F166" s="10" t="str">
        <f>IFERROR(__xludf.DUMMYFUNCTION("IF(REGEXMATCH($E166,""Wizard""),""Wizard "","""")&amp;IF(REGEXMATCH($E166,""Construct""),""Construct "","""")&amp;IF(REGEXMATCH($E166,""Insect""),""Insect "","""")&amp;IF(REGEXMATCH($E166,""Dragon""),""Dragon "","""")&amp;IF(REGEXMATCH($E166,""Human""),""Human "","""")&amp;I"&amp;"F(REGEXMATCH($E166,""Hunter""),""Hunter "","""")&amp;IF(REGEXMATCH($E166,""Animal""),""Animal "","""")&amp;IF(REGEXMATCH($E166,""Undead""),""Undead "","""")&amp;IF(REGEXMATCH($E166,""Plant""),""Plant "","""")&amp;IF(REGEXMATCH($E166,""Dinosaur""),""Dinosaur "","""")&amp;IF(R"&amp;"EGEXMATCH($E166,""Warrior""),""Warrior "","""")&amp;IF(REGEXMATCH($E166,""Spirit""),""Spirit "","""")&amp;IF(REGEXMATCH($E166,""Angel""),""Angel "","""")&amp;IF(REGEXMATCH($E166,""Demon""),""Demon "","""")&amp;IF(REGEXMATCH($E166,""Divine""),""Divine "","""")&amp;IF(REGEXMAT"&amp;"CH($E166,""Elemental""),""Elemental "","""")&amp;IF(REGEXMATCH($E166,""Nature""),""Nature "","""")&amp;IF(REGEXMATCH($E166,""Mortal""),""Mortal "","""")&amp;IF(REGEXMATCH($E166,""Void""),""Void "","""")&amp;IF(REGEXMATCH($E166,""Unearth|Ambush|Ritual|unearth|ambush|ritua"&amp;"l""),""Unearth "","""")&amp;IF(REGEXMATCH($E166,""Unleash|Crystallize|all realms|Crystalborn|crystallize""),""Ramp "","""")&amp;IF(REGEXMATCH($E166,""Demon""),""Demon "","""")&amp;IF(REGEXMATCH($E166,""bury|buries|Bury|Buries|Cleanse|puts a Unit|trail|Trail""),""Cont"&amp;"rol "","""")&amp;IF(REGEXMATCH($E166,""Bounce|Return|Copy|bounce|return|copy""),""Copy "","""")&amp;IF(REGEXMATCH($E166,""conquer|Conquer|leading in lanes|lead by""),""Aggro "","""")&amp;IF(REGEXMATCH($E166,""Ascend|ascend""),""Ascend "","""")&amp;IF(REGEXMATCH($E166,""B"&amp;"ury .+ Crystal|.*crystal.*bury""),""Empty-Crystal"","""")&amp;IF(REGEXMATCH($E166,""Move|move""),""Move"","""")"),"")</f>
        <v/>
      </c>
      <c r="G166" s="12" t="s">
        <v>819</v>
      </c>
      <c r="H166" s="11">
        <v>3.0</v>
      </c>
      <c r="I166" s="11" t="s">
        <v>767</v>
      </c>
      <c r="J166" s="11" t="s">
        <v>50</v>
      </c>
      <c r="L166" s="13" t="str">
        <f>IFERROR(__xludf.DUMMYFUNCTION("IF(REGEXMATCH($B166,L$1),$D166,"""")"),"")</f>
        <v/>
      </c>
      <c r="M166" s="13" t="str">
        <f>IFERROR(__xludf.DUMMYFUNCTION("IF(REGEXMATCH($B166,M$1),$D166,"""")"),"")</f>
        <v/>
      </c>
      <c r="N166" s="13" t="str">
        <f>IFERROR(__xludf.DUMMYFUNCTION("IF(REGEXMATCH($B166,N$1),$D166,"""")"),"")</f>
        <v/>
      </c>
      <c r="O166" s="13" t="str">
        <f>IFERROR(__xludf.DUMMYFUNCTION("IF(REGEXMATCH($B166,O$1),$D166,"""")"),"Human")</f>
        <v>Human</v>
      </c>
      <c r="P166" s="13" t="str">
        <f>IFERROR(__xludf.DUMMYFUNCTION("IF(REGEXMATCH($B166,P$1),$D166,"""")"),"")</f>
        <v/>
      </c>
      <c r="Q166" s="13">
        <f>IFERROR(__xludf.DUMMYFUNCTION("IF($A166="""","""",LEN(REGEXREPLACE($I166,"",\s?"","""")))"),4.0)</f>
        <v>4</v>
      </c>
      <c r="S166" s="13"/>
      <c r="T166" s="13"/>
      <c r="U166" s="13"/>
      <c r="V166" s="13"/>
      <c r="W166" s="13"/>
      <c r="X166" s="13"/>
      <c r="Y166" s="13"/>
      <c r="Z166" s="13"/>
      <c r="AA166" s="13"/>
      <c r="AB166" s="13"/>
    </row>
    <row r="167">
      <c r="A167" s="19" t="s">
        <v>820</v>
      </c>
      <c r="B167" s="10" t="s">
        <v>14</v>
      </c>
      <c r="C167" s="11">
        <v>1.0</v>
      </c>
      <c r="D167" s="18" t="s">
        <v>139</v>
      </c>
      <c r="E167" s="10" t="s">
        <v>821</v>
      </c>
      <c r="F167" s="10" t="str">
        <f>IFERROR(__xludf.DUMMYFUNCTION("IF(REGEXMATCH($E167,""Wizard""),""Wizard "","""")&amp;IF(REGEXMATCH($E167,""Construct""),""Construct "","""")&amp;IF(REGEXMATCH($E167,""Insect""),""Insect "","""")&amp;IF(REGEXMATCH($E167,""Dragon""),""Dragon "","""")&amp;IF(REGEXMATCH($E167,""Human""),""Human "","""")&amp;I"&amp;"F(REGEXMATCH($E167,""Hunter""),""Hunter "","""")&amp;IF(REGEXMATCH($E167,""Animal""),""Animal "","""")&amp;IF(REGEXMATCH($E167,""Undead""),""Undead "","""")&amp;IF(REGEXMATCH($E167,""Plant""),""Plant "","""")&amp;IF(REGEXMATCH($E167,""Dinosaur""),""Dinosaur "","""")&amp;IF(R"&amp;"EGEXMATCH($E167,""Warrior""),""Warrior "","""")&amp;IF(REGEXMATCH($E167,""Spirit""),""Spirit "","""")&amp;IF(REGEXMATCH($E167,""Angel""),""Angel "","""")&amp;IF(REGEXMATCH($E167,""Demon""),""Demon "","""")&amp;IF(REGEXMATCH($E167,""Divine""),""Divine "","""")&amp;IF(REGEXMAT"&amp;"CH($E167,""Elemental""),""Elemental "","""")&amp;IF(REGEXMATCH($E167,""Nature""),""Nature "","""")&amp;IF(REGEXMATCH($E167,""Mortal""),""Mortal "","""")&amp;IF(REGEXMATCH($E167,""Void""),""Void "","""")&amp;IF(REGEXMATCH($E167,""Unearth|Ambush|Ritual|unearth|ambush|ritua"&amp;"l""),""Unearth "","""")&amp;IF(REGEXMATCH($E167,""Unleash|Crystallize|all realms|Crystalborn|crystallize""),""Ramp "","""")&amp;IF(REGEXMATCH($E167,""Demon""),""Demon "","""")&amp;IF(REGEXMATCH($E167,""bury|buries|Bury|Buries|Cleanse|puts a Unit|trail|Trail""),""Cont"&amp;"rol "","""")&amp;IF(REGEXMATCH($E167,""Bounce|Return|Copy|bounce|return|copy""),""Copy "","""")&amp;IF(REGEXMATCH($E167,""conquer|Conquer|leading in lanes|lead by""),""Aggro "","""")&amp;IF(REGEXMATCH($E167,""Ascend|ascend""),""Ascend "","""")&amp;IF(REGEXMATCH($E167,""B"&amp;"ury .+ Crystal|.*crystal.*bury""),""Empty-Crystal"","""")&amp;IF(REGEXMATCH($E167,""Move|move""),""Move"","""")"),"Ramp ")</f>
        <v>Ramp </v>
      </c>
      <c r="G167" s="12" t="s">
        <v>822</v>
      </c>
      <c r="H167" s="11">
        <v>3.0</v>
      </c>
      <c r="I167" s="11" t="s">
        <v>823</v>
      </c>
      <c r="J167" s="11" t="s">
        <v>33</v>
      </c>
      <c r="L167" s="13" t="str">
        <f>IFERROR(__xludf.DUMMYFUNCTION("IF(REGEXMATCH($B167,L$1),$D167,"""")"),"")</f>
        <v/>
      </c>
      <c r="M167" s="13" t="str">
        <f>IFERROR(__xludf.DUMMYFUNCTION("IF(REGEXMATCH($B167,M$1),$D167,"""")"),"")</f>
        <v/>
      </c>
      <c r="N167" s="13" t="str">
        <f>IFERROR(__xludf.DUMMYFUNCTION("IF(REGEXMATCH($B167,N$1),$D167,"""")"),"")</f>
        <v/>
      </c>
      <c r="O167" s="13" t="str">
        <f>IFERROR(__xludf.DUMMYFUNCTION("IF(REGEXMATCH($B167,O$1),$D167,"""")"),"Animal")</f>
        <v>Animal</v>
      </c>
      <c r="P167" s="13" t="str">
        <f>IFERROR(__xludf.DUMMYFUNCTION("IF(REGEXMATCH($B167,P$1),$D167,"""")"),"")</f>
        <v/>
      </c>
      <c r="Q167" s="13">
        <f>IFERROR(__xludf.DUMMYFUNCTION("IF($A167="""","""",LEN(REGEXREPLACE($I167,"",\s?"","""")))"),4.0)</f>
        <v>4</v>
      </c>
      <c r="S167" s="13"/>
      <c r="T167" s="13"/>
      <c r="U167" s="13"/>
      <c r="V167" s="13"/>
      <c r="W167" s="13"/>
      <c r="X167" s="13"/>
      <c r="Y167" s="13"/>
      <c r="Z167" s="13"/>
      <c r="AA167" s="13"/>
      <c r="AB167" s="13"/>
    </row>
    <row r="168" hidden="1">
      <c r="A168" s="22" t="s">
        <v>824</v>
      </c>
      <c r="B168" s="73" t="s">
        <v>14</v>
      </c>
      <c r="C168" s="11">
        <v>0.0</v>
      </c>
      <c r="D168" s="11" t="s">
        <v>154</v>
      </c>
      <c r="E168" s="10" t="s">
        <v>825</v>
      </c>
      <c r="F168" s="10" t="str">
        <f>IFERROR(__xludf.DUMMYFUNCTION("IF(REGEXMATCH($E168,""Wizard""),""Wizard "","""")&amp;IF(REGEXMATCH($E168,""Construct""),""Construct "","""")&amp;IF(REGEXMATCH($E168,""Insect""),""Insect "","""")&amp;IF(REGEXMATCH($E168,""Dragon""),""Dragon "","""")&amp;IF(REGEXMATCH($E168,""Human""),""Human "","""")&amp;I"&amp;"F(REGEXMATCH($E168,""Hunter""),""Hunter "","""")&amp;IF(REGEXMATCH($E168,""Animal""),""Animal "","""")&amp;IF(REGEXMATCH($E168,""Undead""),""Undead "","""")&amp;IF(REGEXMATCH($E168,""Plant""),""Plant "","""")&amp;IF(REGEXMATCH($E168,""Dinosaur""),""Dinosaur "","""")&amp;IF(R"&amp;"EGEXMATCH($E168,""Warrior""),""Warrior "","""")&amp;IF(REGEXMATCH($E168,""Spirit""),""Spirit "","""")&amp;IF(REGEXMATCH($E168,""Angel""),""Angel "","""")&amp;IF(REGEXMATCH($E168,""Demon""),""Demon "","""")&amp;IF(REGEXMATCH($E168,""Divine""),""Divine "","""")&amp;IF(REGEXMAT"&amp;"CH($E168,""Elemental""),""Elemental "","""")&amp;IF(REGEXMATCH($E168,""Nature""),""Nature "","""")&amp;IF(REGEXMATCH($E168,""Mortal""),""Mortal "","""")&amp;IF(REGEXMATCH($E168,""Void""),""Void "","""")&amp;IF(REGEXMATCH($E168,""Unearth|Ambush|Ritual|unearth|ambush|ritua"&amp;"l""),""Unearth "","""")&amp;IF(REGEXMATCH($E168,""Unleash|Crystallize|all realms|Crystalborn|crystallize""),""Ramp "","""")&amp;IF(REGEXMATCH($E168,""Demon""),""Demon "","""")&amp;IF(REGEXMATCH($E168,""bury|buries|Bury|Buries|Cleanse|puts a Unit|trail|Trail""),""Cont"&amp;"rol "","""")&amp;IF(REGEXMATCH($E168,""Bounce|Return|Copy|bounce|return|copy""),""Copy "","""")&amp;IF(REGEXMATCH($E168,""conquer|Conquer|leading in lanes|lead by""),""Aggro "","""")&amp;IF(REGEXMATCH($E168,""Ascend|ascend""),""Ascend "","""")&amp;IF(REGEXMATCH($E168,""B"&amp;"ury .+ Crystal|.*crystal.*bury""),""Empty-Crystal"","""")&amp;IF(REGEXMATCH($E168,""Move|move""),""Move"","""")"),"Animal Ramp ")</f>
        <v>Animal Ramp </v>
      </c>
      <c r="G168" s="12" t="s">
        <v>826</v>
      </c>
      <c r="H168" s="11">
        <v>4.0</v>
      </c>
      <c r="I168" s="11" t="s">
        <v>793</v>
      </c>
      <c r="J168" s="18" t="s">
        <v>50</v>
      </c>
      <c r="L168" s="13" t="str">
        <f>IFERROR(__xludf.DUMMYFUNCTION("IF(REGEXMATCH($B168,L$1),$D168,"""")"),"")</f>
        <v/>
      </c>
      <c r="M168" s="13" t="str">
        <f>IFERROR(__xludf.DUMMYFUNCTION("IF(REGEXMATCH($B168,M$1),$D168,"""")"),"")</f>
        <v/>
      </c>
      <c r="N168" s="13" t="str">
        <f>IFERROR(__xludf.DUMMYFUNCTION("IF(REGEXMATCH($B168,N$1),$D168,"""")"),"")</f>
        <v/>
      </c>
      <c r="O168" s="13" t="str">
        <f>IFERROR(__xludf.DUMMYFUNCTION("IF(REGEXMATCH($B168,O$1),$D168,"""")"),"Animal Spirit")</f>
        <v>Animal Spirit</v>
      </c>
      <c r="P168" s="13" t="str">
        <f>IFERROR(__xludf.DUMMYFUNCTION("IF(REGEXMATCH($B168,P$1),$D168,"""")"),"")</f>
        <v/>
      </c>
      <c r="Q168" s="13">
        <f>IFERROR(__xludf.DUMMYFUNCTION("IF($A168="""","""",LEN(REGEXREPLACE($I168,"",\s?"","""")))"),5.0)</f>
        <v>5</v>
      </c>
      <c r="S168" s="13"/>
      <c r="T168" s="13"/>
      <c r="U168" s="13"/>
      <c r="V168" s="13"/>
      <c r="W168" s="13"/>
      <c r="X168" s="13"/>
      <c r="Y168" s="13"/>
      <c r="Z168" s="13"/>
      <c r="AA168" s="13"/>
      <c r="AB168" s="13"/>
    </row>
    <row r="169" hidden="1">
      <c r="A169" s="19" t="s">
        <v>827</v>
      </c>
      <c r="B169" s="73" t="s">
        <v>14</v>
      </c>
      <c r="C169" s="11">
        <v>2.0</v>
      </c>
      <c r="D169" s="11" t="s">
        <v>724</v>
      </c>
      <c r="E169" s="10" t="s">
        <v>828</v>
      </c>
      <c r="F169" s="10" t="str">
        <f>IFERROR(__xludf.DUMMYFUNCTION("IF(REGEXMATCH($E169,""Wizard""),""Wizard "","""")&amp;IF(REGEXMATCH($E169,""Construct""),""Construct "","""")&amp;IF(REGEXMATCH($E169,""Insect""),""Insect "","""")&amp;IF(REGEXMATCH($E169,""Dragon""),""Dragon "","""")&amp;IF(REGEXMATCH($E169,""Human""),""Human "","""")&amp;I"&amp;"F(REGEXMATCH($E169,""Hunter""),""Hunter "","""")&amp;IF(REGEXMATCH($E169,""Animal""),""Animal "","""")&amp;IF(REGEXMATCH($E169,""Undead""),""Undead "","""")&amp;IF(REGEXMATCH($E169,""Plant""),""Plant "","""")&amp;IF(REGEXMATCH($E169,""Dinosaur""),""Dinosaur "","""")&amp;IF(R"&amp;"EGEXMATCH($E169,""Warrior""),""Warrior "","""")&amp;IF(REGEXMATCH($E169,""Spirit""),""Spirit "","""")&amp;IF(REGEXMATCH($E169,""Angel""),""Angel "","""")&amp;IF(REGEXMATCH($E169,""Demon""),""Demon "","""")&amp;IF(REGEXMATCH($E169,""Divine""),""Divine "","""")&amp;IF(REGEXMAT"&amp;"CH($E169,""Elemental""),""Elemental "","""")&amp;IF(REGEXMATCH($E169,""Nature""),""Nature "","""")&amp;IF(REGEXMATCH($E169,""Mortal""),""Mortal "","""")&amp;IF(REGEXMATCH($E169,""Void""),""Void "","""")&amp;IF(REGEXMATCH($E169,""Unearth|Ambush|Ritual|unearth|ambush|ritua"&amp;"l""),""Unearth "","""")&amp;IF(REGEXMATCH($E169,""Unleash|Crystallize|all realms|Crystalborn|crystallize""),""Ramp "","""")&amp;IF(REGEXMATCH($E169,""Demon""),""Demon "","""")&amp;IF(REGEXMATCH($E169,""bury|buries|Bury|Buries|Cleanse|puts a Unit|trail|Trail""),""Cont"&amp;"rol "","""")&amp;IF(REGEXMATCH($E169,""Bounce|Return|Copy|bounce|return|copy""),""Copy "","""")&amp;IF(REGEXMATCH($E169,""conquer|Conquer|leading in lanes|lead by""),""Aggro "","""")&amp;IF(REGEXMATCH($E169,""Ascend|ascend""),""Ascend "","""")&amp;IF(REGEXMATCH($E169,""B"&amp;"ury .+ Crystal|.*crystal.*bury""),""Empty-Crystal"","""")&amp;IF(REGEXMATCH($E169,""Move|move""),""Move"","""")"),"")</f>
        <v/>
      </c>
      <c r="G169" s="12" t="s">
        <v>494</v>
      </c>
      <c r="H169" s="11">
        <v>2.0</v>
      </c>
      <c r="I169" s="11" t="s">
        <v>829</v>
      </c>
      <c r="J169" s="11" t="s">
        <v>50</v>
      </c>
      <c r="L169" s="13" t="str">
        <f>IFERROR(__xludf.DUMMYFUNCTION("IF(REGEXMATCH($B169,L$1),$D169,"""")"),"")</f>
        <v/>
      </c>
      <c r="M169" s="13" t="str">
        <f>IFERROR(__xludf.DUMMYFUNCTION("IF(REGEXMATCH($B169,M$1),$D169,"""")"),"")</f>
        <v/>
      </c>
      <c r="N169" s="13" t="str">
        <f>IFERROR(__xludf.DUMMYFUNCTION("IF(REGEXMATCH($B169,N$1),$D169,"""")"),"")</f>
        <v/>
      </c>
      <c r="O169" s="13" t="str">
        <f>IFERROR(__xludf.DUMMYFUNCTION("IF(REGEXMATCH($B169,O$1),$D169,"""")"),"Animal Warrior")</f>
        <v>Animal Warrior</v>
      </c>
      <c r="P169" s="13" t="str">
        <f>IFERROR(__xludf.DUMMYFUNCTION("IF(REGEXMATCH($B169,P$1),$D169,"""")"),"")</f>
        <v/>
      </c>
      <c r="Q169" s="13">
        <f>IFERROR(__xludf.DUMMYFUNCTION("IF($A169="""","""",LEN(REGEXREPLACE($I169,"",\s?"","""")))"),3.0)</f>
        <v>3</v>
      </c>
      <c r="S169" s="13"/>
      <c r="T169" s="13"/>
      <c r="U169" s="13"/>
      <c r="V169" s="13"/>
      <c r="W169" s="13"/>
      <c r="X169" s="13"/>
      <c r="Y169" s="13"/>
      <c r="Z169" s="13"/>
      <c r="AA169" s="13"/>
      <c r="AB169" s="13"/>
    </row>
    <row r="170" hidden="1">
      <c r="A170" s="19" t="s">
        <v>830</v>
      </c>
      <c r="B170" s="72" t="s">
        <v>14</v>
      </c>
      <c r="C170" s="18">
        <v>2.0</v>
      </c>
      <c r="D170" s="18" t="s">
        <v>139</v>
      </c>
      <c r="E170" s="19" t="s">
        <v>831</v>
      </c>
      <c r="F170" s="10" t="str">
        <f>IFERROR(__xludf.DUMMYFUNCTION("IF(REGEXMATCH($E170,""Wizard""),""Wizard "","""")&amp;IF(REGEXMATCH($E170,""Construct""),""Construct "","""")&amp;IF(REGEXMATCH($E170,""Insect""),""Insect "","""")&amp;IF(REGEXMATCH($E170,""Dragon""),""Dragon "","""")&amp;IF(REGEXMATCH($E170,""Human""),""Human "","""")&amp;I"&amp;"F(REGEXMATCH($E170,""Hunter""),""Hunter "","""")&amp;IF(REGEXMATCH($E170,""Animal""),""Animal "","""")&amp;IF(REGEXMATCH($E170,""Undead""),""Undead "","""")&amp;IF(REGEXMATCH($E170,""Plant""),""Plant "","""")&amp;IF(REGEXMATCH($E170,""Dinosaur""),""Dinosaur "","""")&amp;IF(R"&amp;"EGEXMATCH($E170,""Warrior""),""Warrior "","""")&amp;IF(REGEXMATCH($E170,""Spirit""),""Spirit "","""")&amp;IF(REGEXMATCH($E170,""Angel""),""Angel "","""")&amp;IF(REGEXMATCH($E170,""Demon""),""Demon "","""")&amp;IF(REGEXMATCH($E170,""Divine""),""Divine "","""")&amp;IF(REGEXMAT"&amp;"CH($E170,""Elemental""),""Elemental "","""")&amp;IF(REGEXMATCH($E170,""Nature""),""Nature "","""")&amp;IF(REGEXMATCH($E170,""Mortal""),""Mortal "","""")&amp;IF(REGEXMATCH($E170,""Void""),""Void "","""")&amp;IF(REGEXMATCH($E170,""Unearth|Ambush|Ritual|unearth|ambush|ritua"&amp;"l""),""Unearth "","""")&amp;IF(REGEXMATCH($E170,""Unleash|Crystallize|all realms|Crystalborn|crystallize""),""Ramp "","""")&amp;IF(REGEXMATCH($E170,""Demon""),""Demon "","""")&amp;IF(REGEXMATCH($E170,""bury|buries|Bury|Buries|Cleanse|puts a Unit|trail|Trail""),""Cont"&amp;"rol "","""")&amp;IF(REGEXMATCH($E170,""Bounce|Return|Copy|bounce|return|copy""),""Copy "","""")&amp;IF(REGEXMATCH($E170,""conquer|Conquer|leading in lanes|lead by""),""Aggro "","""")&amp;IF(REGEXMATCH($E170,""Ascend|ascend""),""Ascend "","""")&amp;IF(REGEXMATCH($E170,""B"&amp;"ury .+ Crystal|.*crystal.*bury""),""Empty-Crystal"","""")&amp;IF(REGEXMATCH($E170,""Move|move""),""Move"","""")"),"Unearth Control Copy ")</f>
        <v>Unearth Control Copy </v>
      </c>
      <c r="G170" s="20" t="s">
        <v>832</v>
      </c>
      <c r="H170" s="18">
        <v>1.0</v>
      </c>
      <c r="I170" s="18" t="s">
        <v>790</v>
      </c>
      <c r="J170" s="18" t="s">
        <v>42</v>
      </c>
      <c r="L170" s="13" t="str">
        <f>IFERROR(__xludf.DUMMYFUNCTION("IF(REGEXMATCH($B170,L$1),$D170,"""")"),"")</f>
        <v/>
      </c>
      <c r="M170" s="13" t="str">
        <f>IFERROR(__xludf.DUMMYFUNCTION("IF(REGEXMATCH($B170,M$1),$D170,"""")"),"")</f>
        <v/>
      </c>
      <c r="N170" s="13" t="str">
        <f>IFERROR(__xludf.DUMMYFUNCTION("IF(REGEXMATCH($B170,N$1),$D170,"""")"),"")</f>
        <v/>
      </c>
      <c r="O170" s="13" t="str">
        <f>IFERROR(__xludf.DUMMYFUNCTION("IF(REGEXMATCH($B170,O$1),$D170,"""")"),"Animal")</f>
        <v>Animal</v>
      </c>
      <c r="P170" s="13" t="str">
        <f>IFERROR(__xludf.DUMMYFUNCTION("IF(REGEXMATCH($B170,P$1),$D170,"""")"),"")</f>
        <v/>
      </c>
      <c r="Q170" s="13">
        <f>IFERROR(__xludf.DUMMYFUNCTION("IF($A170="""","""",LEN(REGEXREPLACE($I170,"",\s?"","""")))"),1.0)</f>
        <v>1</v>
      </c>
      <c r="S170" s="13"/>
      <c r="T170" s="13"/>
      <c r="U170" s="13"/>
      <c r="V170" s="13"/>
      <c r="W170" s="13"/>
      <c r="X170" s="13"/>
      <c r="Y170" s="13"/>
      <c r="Z170" s="13"/>
      <c r="AA170" s="13"/>
      <c r="AB170" s="13"/>
    </row>
    <row r="171">
      <c r="A171" s="29" t="s">
        <v>833</v>
      </c>
      <c r="B171" s="10" t="s">
        <v>14</v>
      </c>
      <c r="C171" s="11">
        <v>1.0</v>
      </c>
      <c r="D171" s="21" t="s">
        <v>139</v>
      </c>
      <c r="E171" s="66" t="s">
        <v>834</v>
      </c>
      <c r="F171" s="10" t="str">
        <f>IFERROR(__xludf.DUMMYFUNCTION("IF(REGEXMATCH($E171,""Wizard""),""Wizard "","""")&amp;IF(REGEXMATCH($E171,""Construct""),""Construct "","""")&amp;IF(REGEXMATCH($E171,""Insect""),""Insect "","""")&amp;IF(REGEXMATCH($E171,""Dragon""),""Dragon "","""")&amp;IF(REGEXMATCH($E171,""Human""),""Human "","""")&amp;I"&amp;"F(REGEXMATCH($E171,""Hunter""),""Hunter "","""")&amp;IF(REGEXMATCH($E171,""Animal""),""Animal "","""")&amp;IF(REGEXMATCH($E171,""Undead""),""Undead "","""")&amp;IF(REGEXMATCH($E171,""Plant""),""Plant "","""")&amp;IF(REGEXMATCH($E171,""Dinosaur""),""Dinosaur "","""")&amp;IF(R"&amp;"EGEXMATCH($E171,""Warrior""),""Warrior "","""")&amp;IF(REGEXMATCH($E171,""Spirit""),""Spirit "","""")&amp;IF(REGEXMATCH($E171,""Angel""),""Angel "","""")&amp;IF(REGEXMATCH($E171,""Demon""),""Demon "","""")&amp;IF(REGEXMATCH($E171,""Divine""),""Divine "","""")&amp;IF(REGEXMAT"&amp;"CH($E171,""Elemental""),""Elemental "","""")&amp;IF(REGEXMATCH($E171,""Nature""),""Nature "","""")&amp;IF(REGEXMATCH($E171,""Mortal""),""Mortal "","""")&amp;IF(REGEXMATCH($E171,""Void""),""Void "","""")&amp;IF(REGEXMATCH($E171,""Unearth|Ambush|Ritual|unearth|ambush|ritua"&amp;"l""),""Unearth "","""")&amp;IF(REGEXMATCH($E171,""Unleash|Crystallize|all realms|Crystalborn|crystallize""),""Ramp "","""")&amp;IF(REGEXMATCH($E171,""Demon""),""Demon "","""")&amp;IF(REGEXMATCH($E171,""bury|buries|Bury|Buries|Cleanse|puts a Unit|trail|Trail""),""Cont"&amp;"rol "","""")&amp;IF(REGEXMATCH($E171,""Bounce|Return|Copy|bounce|return|copy""),""Copy "","""")&amp;IF(REGEXMATCH($E171,""conquer|Conquer|leading in lanes|lead by""),""Aggro "","""")&amp;IF(REGEXMATCH($E171,""Ascend|ascend""),""Ascend "","""")&amp;IF(REGEXMATCH($E171,""B"&amp;"ury .+ Crystal|.*crystal.*bury""),""Empty-Crystal"","""")&amp;IF(REGEXMATCH($E171,""Move|move""),""Move"","""")"),"")</f>
        <v/>
      </c>
      <c r="G171" s="55" t="s">
        <v>835</v>
      </c>
      <c r="H171" s="11">
        <v>2.0</v>
      </c>
      <c r="I171" s="11" t="s">
        <v>836</v>
      </c>
      <c r="J171" s="18" t="s">
        <v>42</v>
      </c>
      <c r="L171" s="13" t="str">
        <f>IFERROR(__xludf.DUMMYFUNCTION("IF(REGEXMATCH($B171,L$1),$D171,"""")"),"")</f>
        <v/>
      </c>
      <c r="M171" s="13" t="str">
        <f>IFERROR(__xludf.DUMMYFUNCTION("IF(REGEXMATCH($B171,M$1),$D171,"""")"),"")</f>
        <v/>
      </c>
      <c r="N171" s="13" t="str">
        <f>IFERROR(__xludf.DUMMYFUNCTION("IF(REGEXMATCH($B171,N$1),$D171,"""")"),"")</f>
        <v/>
      </c>
      <c r="O171" s="13" t="str">
        <f>IFERROR(__xludf.DUMMYFUNCTION("IF(REGEXMATCH($B171,O$1),$D171,"""")"),"Animal")</f>
        <v>Animal</v>
      </c>
      <c r="P171" s="13" t="str">
        <f>IFERROR(__xludf.DUMMYFUNCTION("IF(REGEXMATCH($B171,P$1),$D171,"""")"),"")</f>
        <v/>
      </c>
      <c r="Q171" s="13">
        <f>IFERROR(__xludf.DUMMYFUNCTION("IF($A171="""","""",LEN(REGEXREPLACE($I171,"",\s?"","""")))"),2.0)</f>
        <v>2</v>
      </c>
      <c r="S171" s="13"/>
      <c r="T171" s="13"/>
      <c r="U171" s="13"/>
      <c r="V171" s="13"/>
      <c r="W171" s="13"/>
      <c r="X171" s="13"/>
      <c r="Y171" s="13"/>
      <c r="Z171" s="13"/>
      <c r="AA171" s="13"/>
      <c r="AB171" s="13"/>
    </row>
    <row r="172">
      <c r="A172" s="10" t="s">
        <v>837</v>
      </c>
      <c r="B172" s="10" t="s">
        <v>14</v>
      </c>
      <c r="C172" s="11">
        <v>1.0</v>
      </c>
      <c r="D172" s="11" t="s">
        <v>139</v>
      </c>
      <c r="E172" s="66" t="s">
        <v>838</v>
      </c>
      <c r="F172" s="10" t="str">
        <f>IFERROR(__xludf.DUMMYFUNCTION("IF(REGEXMATCH($E172,""Wizard""),""Wizard "","""")&amp;IF(REGEXMATCH($E172,""Construct""),""Construct "","""")&amp;IF(REGEXMATCH($E172,""Insect""),""Insect "","""")&amp;IF(REGEXMATCH($E172,""Dragon""),""Dragon "","""")&amp;IF(REGEXMATCH($E172,""Human""),""Human "","""")&amp;I"&amp;"F(REGEXMATCH($E172,""Hunter""),""Hunter "","""")&amp;IF(REGEXMATCH($E172,""Animal""),""Animal "","""")&amp;IF(REGEXMATCH($E172,""Undead""),""Undead "","""")&amp;IF(REGEXMATCH($E172,""Plant""),""Plant "","""")&amp;IF(REGEXMATCH($E172,""Dinosaur""),""Dinosaur "","""")&amp;IF(R"&amp;"EGEXMATCH($E172,""Warrior""),""Warrior "","""")&amp;IF(REGEXMATCH($E172,""Spirit""),""Spirit "","""")&amp;IF(REGEXMATCH($E172,""Angel""),""Angel "","""")&amp;IF(REGEXMATCH($E172,""Demon""),""Demon "","""")&amp;IF(REGEXMATCH($E172,""Divine""),""Divine "","""")&amp;IF(REGEXMAT"&amp;"CH($E172,""Elemental""),""Elemental "","""")&amp;IF(REGEXMATCH($E172,""Nature""),""Nature "","""")&amp;IF(REGEXMATCH($E172,""Mortal""),""Mortal "","""")&amp;IF(REGEXMATCH($E172,""Void""),""Void "","""")&amp;IF(REGEXMATCH($E172,""Unearth|Ambush|Ritual|unearth|ambush|ritua"&amp;"l""),""Unearth "","""")&amp;IF(REGEXMATCH($E172,""Unleash|Crystallize|all realms|Crystalborn|crystallize""),""Ramp "","""")&amp;IF(REGEXMATCH($E172,""Demon""),""Demon "","""")&amp;IF(REGEXMATCH($E172,""bury|buries|Bury|Buries|Cleanse|puts a Unit|trail|Trail""),""Cont"&amp;"rol "","""")&amp;IF(REGEXMATCH($E172,""Bounce|Return|Copy|bounce|return|copy""),""Copy "","""")&amp;IF(REGEXMATCH($E172,""conquer|Conquer|leading in lanes|lead by""),""Aggro "","""")&amp;IF(REGEXMATCH($E172,""Ascend|ascend""),""Ascend "","""")&amp;IF(REGEXMATCH($E172,""B"&amp;"ury .+ Crystal|.*crystal.*bury""),""Empty-Crystal"","""")&amp;IF(REGEXMATCH($E172,""Move|move""),""Move"","""")"),"Human ")</f>
        <v>Human </v>
      </c>
      <c r="G172" s="75" t="s">
        <v>839</v>
      </c>
      <c r="H172" s="11">
        <v>2.0</v>
      </c>
      <c r="I172" s="11" t="s">
        <v>738</v>
      </c>
      <c r="J172" s="11" t="s">
        <v>42</v>
      </c>
      <c r="L172" s="13" t="str">
        <f>IFERROR(__xludf.DUMMYFUNCTION("IF(REGEXMATCH($B172,L$1),$D172,"""")"),"")</f>
        <v/>
      </c>
      <c r="M172" s="13" t="str">
        <f>IFERROR(__xludf.DUMMYFUNCTION("IF(REGEXMATCH($B172,M$1),$D172,"""")"),"")</f>
        <v/>
      </c>
      <c r="N172" s="13" t="str">
        <f>IFERROR(__xludf.DUMMYFUNCTION("IF(REGEXMATCH($B172,N$1),$D172,"""")"),"")</f>
        <v/>
      </c>
      <c r="O172" s="13" t="str">
        <f>IFERROR(__xludf.DUMMYFUNCTION("IF(REGEXMATCH($B172,O$1),$D172,"""")"),"Animal")</f>
        <v>Animal</v>
      </c>
      <c r="P172" s="13" t="str">
        <f>IFERROR(__xludf.DUMMYFUNCTION("IF(REGEXMATCH($B172,P$1),$D172,"""")"),"")</f>
        <v/>
      </c>
      <c r="Q172" s="13">
        <f>IFERROR(__xludf.DUMMYFUNCTION("IF($A172="""","""",LEN(REGEXREPLACE($I172,"",\s?"","""")))"),3.0)</f>
        <v>3</v>
      </c>
      <c r="S172" s="13"/>
      <c r="T172" s="13"/>
      <c r="U172" s="13"/>
      <c r="V172" s="13"/>
      <c r="W172" s="13"/>
      <c r="X172" s="13"/>
      <c r="Y172" s="13"/>
      <c r="Z172" s="13"/>
      <c r="AA172" s="13"/>
      <c r="AB172" s="13"/>
    </row>
    <row r="173" hidden="1">
      <c r="A173" s="22" t="s">
        <v>840</v>
      </c>
      <c r="B173" s="73" t="s">
        <v>14</v>
      </c>
      <c r="C173" s="11">
        <v>2.0</v>
      </c>
      <c r="D173" s="11" t="s">
        <v>139</v>
      </c>
      <c r="E173" s="10" t="s">
        <v>841</v>
      </c>
      <c r="F173" s="10" t="str">
        <f>IFERROR(__xludf.DUMMYFUNCTION("IF(REGEXMATCH($E173,""Wizard""),""Wizard "","""")&amp;IF(REGEXMATCH($E173,""Construct""),""Construct "","""")&amp;IF(REGEXMATCH($E173,""Insect""),""Insect "","""")&amp;IF(REGEXMATCH($E173,""Dragon""),""Dragon "","""")&amp;IF(REGEXMATCH($E173,""Human""),""Human "","""")&amp;I"&amp;"F(REGEXMATCH($E173,""Hunter""),""Hunter "","""")&amp;IF(REGEXMATCH($E173,""Animal""),""Animal "","""")&amp;IF(REGEXMATCH($E173,""Undead""),""Undead "","""")&amp;IF(REGEXMATCH($E173,""Plant""),""Plant "","""")&amp;IF(REGEXMATCH($E173,""Dinosaur""),""Dinosaur "","""")&amp;IF(R"&amp;"EGEXMATCH($E173,""Warrior""),""Warrior "","""")&amp;IF(REGEXMATCH($E173,""Spirit""),""Spirit "","""")&amp;IF(REGEXMATCH($E173,""Angel""),""Angel "","""")&amp;IF(REGEXMATCH($E173,""Demon""),""Demon "","""")&amp;IF(REGEXMATCH($E173,""Divine""),""Divine "","""")&amp;IF(REGEXMAT"&amp;"CH($E173,""Elemental""),""Elemental "","""")&amp;IF(REGEXMATCH($E173,""Nature""),""Nature "","""")&amp;IF(REGEXMATCH($E173,""Mortal""),""Mortal "","""")&amp;IF(REGEXMATCH($E173,""Void""),""Void "","""")&amp;IF(REGEXMATCH($E173,""Unearth|Ambush|Ritual|unearth|ambush|ritua"&amp;"l""),""Unearth "","""")&amp;IF(REGEXMATCH($E173,""Unleash|Crystallize|all realms|Crystalborn|crystallize""),""Ramp "","""")&amp;IF(REGEXMATCH($E173,""Demon""),""Demon "","""")&amp;IF(REGEXMATCH($E173,""bury|buries|Bury|Buries|Cleanse|puts a Unit|trail|Trail""),""Cont"&amp;"rol "","""")&amp;IF(REGEXMATCH($E173,""Bounce|Return|Copy|bounce|return|copy""),""Copy "","""")&amp;IF(REGEXMATCH($E173,""conquer|Conquer|leading in lanes|lead by""),""Aggro "","""")&amp;IF(REGEXMATCH($E173,""Ascend|ascend""),""Ascend "","""")&amp;IF(REGEXMATCH($E173,""B"&amp;"ury .+ Crystal|.*crystal.*bury""),""Empty-Crystal"","""")&amp;IF(REGEXMATCH($E173,""Move|move""),""Move"","""")"),"Mortal ")</f>
        <v>Mortal </v>
      </c>
      <c r="G173" s="12" t="s">
        <v>842</v>
      </c>
      <c r="H173" s="11">
        <v>1.0</v>
      </c>
      <c r="I173" s="11" t="s">
        <v>752</v>
      </c>
      <c r="J173" s="11" t="s">
        <v>42</v>
      </c>
      <c r="L173" s="13" t="str">
        <f>IFERROR(__xludf.DUMMYFUNCTION("IF(REGEXMATCH($B173,L$1),$D173,"""")"),"")</f>
        <v/>
      </c>
      <c r="M173" s="13" t="str">
        <f>IFERROR(__xludf.DUMMYFUNCTION("IF(REGEXMATCH($B173,M$1),$D173,"""")"),"")</f>
        <v/>
      </c>
      <c r="N173" s="13" t="str">
        <f>IFERROR(__xludf.DUMMYFUNCTION("IF(REGEXMATCH($B173,N$1),$D173,"""")"),"")</f>
        <v/>
      </c>
      <c r="O173" s="13" t="str">
        <f>IFERROR(__xludf.DUMMYFUNCTION("IF(REGEXMATCH($B173,O$1),$D173,"""")"),"Animal")</f>
        <v>Animal</v>
      </c>
      <c r="P173" s="13" t="str">
        <f>IFERROR(__xludf.DUMMYFUNCTION("IF(REGEXMATCH($B173,P$1),$D173,"""")"),"")</f>
        <v/>
      </c>
      <c r="Q173" s="13">
        <f>IFERROR(__xludf.DUMMYFUNCTION("IF($A173="""","""",LEN(REGEXREPLACE($I173,"",\s?"","""")))"),2.0)</f>
        <v>2</v>
      </c>
      <c r="S173" s="13"/>
      <c r="T173" s="13"/>
      <c r="U173" s="13"/>
      <c r="V173" s="13"/>
      <c r="W173" s="13"/>
      <c r="X173" s="13"/>
      <c r="Y173" s="13"/>
      <c r="Z173" s="13"/>
      <c r="AA173" s="13"/>
      <c r="AB173" s="13"/>
    </row>
    <row r="174" hidden="1">
      <c r="A174" s="10" t="s">
        <v>843</v>
      </c>
      <c r="B174" s="73" t="s">
        <v>14</v>
      </c>
      <c r="C174" s="18">
        <v>2.0</v>
      </c>
      <c r="D174" s="11" t="s">
        <v>272</v>
      </c>
      <c r="E174" s="10" t="s">
        <v>844</v>
      </c>
      <c r="F174" s="10" t="str">
        <f>IFERROR(__xludf.DUMMYFUNCTION("IF(REGEXMATCH($E174,""Wizard""),""Wizard "","""")&amp;IF(REGEXMATCH($E174,""Construct""),""Construct "","""")&amp;IF(REGEXMATCH($E174,""Insect""),""Insect "","""")&amp;IF(REGEXMATCH($E174,""Dragon""),""Dragon "","""")&amp;IF(REGEXMATCH($E174,""Human""),""Human "","""")&amp;I"&amp;"F(REGEXMATCH($E174,""Hunter""),""Hunter "","""")&amp;IF(REGEXMATCH($E174,""Animal""),""Animal "","""")&amp;IF(REGEXMATCH($E174,""Undead""),""Undead "","""")&amp;IF(REGEXMATCH($E174,""Plant""),""Plant "","""")&amp;IF(REGEXMATCH($E174,""Dinosaur""),""Dinosaur "","""")&amp;IF(R"&amp;"EGEXMATCH($E174,""Warrior""),""Warrior "","""")&amp;IF(REGEXMATCH($E174,""Spirit""),""Spirit "","""")&amp;IF(REGEXMATCH($E174,""Angel""),""Angel "","""")&amp;IF(REGEXMATCH($E174,""Demon""),""Demon "","""")&amp;IF(REGEXMATCH($E174,""Divine""),""Divine "","""")&amp;IF(REGEXMAT"&amp;"CH($E174,""Elemental""),""Elemental "","""")&amp;IF(REGEXMATCH($E174,""Nature""),""Nature "","""")&amp;IF(REGEXMATCH($E174,""Mortal""),""Mortal "","""")&amp;IF(REGEXMATCH($E174,""Void""),""Void "","""")&amp;IF(REGEXMATCH($E174,""Unearth|Ambush|Ritual|unearth|ambush|ritua"&amp;"l""),""Unearth "","""")&amp;IF(REGEXMATCH($E174,""Unleash|Crystallize|all realms|Crystalborn|crystallize""),""Ramp "","""")&amp;IF(REGEXMATCH($E174,""Demon""),""Demon "","""")&amp;IF(REGEXMATCH($E174,""bury|buries|Bury|Buries|Cleanse|puts a Unit|trail|Trail""),""Cont"&amp;"rol "","""")&amp;IF(REGEXMATCH($E174,""Bounce|Return|Copy|bounce|return|copy""),""Copy "","""")&amp;IF(REGEXMATCH($E174,""conquer|Conquer|leading in lanes|lead by""),""Aggro "","""")&amp;IF(REGEXMATCH($E174,""Ascend|ascend""),""Ascend "","""")&amp;IF(REGEXMATCH($E174,""B"&amp;"ury .+ Crystal|.*crystal.*bury""),""Empty-Crystal"","""")&amp;IF(REGEXMATCH($E174,""Move|move""),""Move"","""")"),"Ascend ")</f>
        <v>Ascend </v>
      </c>
      <c r="G174" s="12" t="s">
        <v>40</v>
      </c>
      <c r="H174" s="11">
        <v>6.0</v>
      </c>
      <c r="I174" s="11" t="s">
        <v>845</v>
      </c>
      <c r="J174" s="11" t="s">
        <v>33</v>
      </c>
      <c r="L174" s="13" t="str">
        <f>IFERROR(__xludf.DUMMYFUNCTION("IF(REGEXMATCH($B174,L$1),$D174,"""")"),"")</f>
        <v/>
      </c>
      <c r="M174" s="13" t="str">
        <f>IFERROR(__xludf.DUMMYFUNCTION("IF(REGEXMATCH($B174,M$1),$D174,"""")"),"")</f>
        <v/>
      </c>
      <c r="N174" s="13" t="str">
        <f>IFERROR(__xludf.DUMMYFUNCTION("IF(REGEXMATCH($B174,N$1),$D174,"""")"),"")</f>
        <v/>
      </c>
      <c r="O174" s="13" t="str">
        <f>IFERROR(__xludf.DUMMYFUNCTION("IF(REGEXMATCH($B174,O$1),$D174,"""")"),"Construct Warrior")</f>
        <v>Construct Warrior</v>
      </c>
      <c r="P174" s="13" t="str">
        <f>IFERROR(__xludf.DUMMYFUNCTION("IF(REGEXMATCH($B174,P$1),$D174,"""")"),"")</f>
        <v/>
      </c>
      <c r="Q174" s="13">
        <f>IFERROR(__xludf.DUMMYFUNCTION("IF($A174="""","""",LEN(REGEXREPLACE($I174,"",\s?"","""")))"),6.0)</f>
        <v>6</v>
      </c>
      <c r="S174" s="13"/>
      <c r="T174" s="13"/>
      <c r="U174" s="13"/>
      <c r="V174" s="13"/>
      <c r="W174" s="13"/>
      <c r="X174" s="13"/>
      <c r="Y174" s="13"/>
      <c r="Z174" s="13"/>
      <c r="AA174" s="13"/>
      <c r="AB174" s="13"/>
    </row>
    <row r="175" hidden="1">
      <c r="A175" s="19" t="s">
        <v>846</v>
      </c>
      <c r="B175" s="72" t="s">
        <v>14</v>
      </c>
      <c r="C175" s="18">
        <v>2.0</v>
      </c>
      <c r="D175" s="18" t="s">
        <v>724</v>
      </c>
      <c r="E175" s="19" t="s">
        <v>847</v>
      </c>
      <c r="F175" s="10" t="str">
        <f>IFERROR(__xludf.DUMMYFUNCTION("IF(REGEXMATCH($E175,""Wizard""),""Wizard "","""")&amp;IF(REGEXMATCH($E175,""Construct""),""Construct "","""")&amp;IF(REGEXMATCH($E175,""Insect""),""Insect "","""")&amp;IF(REGEXMATCH($E175,""Dragon""),""Dragon "","""")&amp;IF(REGEXMATCH($E175,""Human""),""Human "","""")&amp;I"&amp;"F(REGEXMATCH($E175,""Hunter""),""Hunter "","""")&amp;IF(REGEXMATCH($E175,""Animal""),""Animal "","""")&amp;IF(REGEXMATCH($E175,""Undead""),""Undead "","""")&amp;IF(REGEXMATCH($E175,""Plant""),""Plant "","""")&amp;IF(REGEXMATCH($E175,""Dinosaur""),""Dinosaur "","""")&amp;IF(R"&amp;"EGEXMATCH($E175,""Warrior""),""Warrior "","""")&amp;IF(REGEXMATCH($E175,""Spirit""),""Spirit "","""")&amp;IF(REGEXMATCH($E175,""Angel""),""Angel "","""")&amp;IF(REGEXMATCH($E175,""Demon""),""Demon "","""")&amp;IF(REGEXMATCH($E175,""Divine""),""Divine "","""")&amp;IF(REGEXMAT"&amp;"CH($E175,""Elemental""),""Elemental "","""")&amp;IF(REGEXMATCH($E175,""Nature""),""Nature "","""")&amp;IF(REGEXMATCH($E175,""Mortal""),""Mortal "","""")&amp;IF(REGEXMATCH($E175,""Void""),""Void "","""")&amp;IF(REGEXMATCH($E175,""Unearth|Ambush|Ritual|unearth|ambush|ritua"&amp;"l""),""Unearth "","""")&amp;IF(REGEXMATCH($E175,""Unleash|Crystallize|all realms|Crystalborn|crystallize""),""Ramp "","""")&amp;IF(REGEXMATCH($E175,""Demon""),""Demon "","""")&amp;IF(REGEXMATCH($E175,""bury|buries|Bury|Buries|Cleanse|puts a Unit|trail|Trail""),""Cont"&amp;"rol "","""")&amp;IF(REGEXMATCH($E175,""Bounce|Return|Copy|bounce|return|copy""),""Copy "","""")&amp;IF(REGEXMATCH($E175,""conquer|Conquer|leading in lanes|lead by""),""Aggro "","""")&amp;IF(REGEXMATCH($E175,""Ascend|ascend""),""Ascend "","""")&amp;IF(REGEXMATCH($E175,""B"&amp;"ury .+ Crystal|.*crystal.*bury""),""Empty-Crystal"","""")&amp;IF(REGEXMATCH($E175,""Move|move""),""Move"","""")"),"Mortal Ascend ")</f>
        <v>Mortal Ascend </v>
      </c>
      <c r="G175" s="20" t="s">
        <v>40</v>
      </c>
      <c r="H175" s="18">
        <v>1.0</v>
      </c>
      <c r="I175" s="18" t="s">
        <v>790</v>
      </c>
      <c r="J175" s="18" t="s">
        <v>42</v>
      </c>
      <c r="L175" s="13" t="str">
        <f>IFERROR(__xludf.DUMMYFUNCTION("IF(REGEXMATCH($B175,L$1),$D175,"""")"),"")</f>
        <v/>
      </c>
      <c r="M175" s="13" t="str">
        <f>IFERROR(__xludf.DUMMYFUNCTION("IF(REGEXMATCH($B175,M$1),$D175,"""")"),"")</f>
        <v/>
      </c>
      <c r="N175" s="13" t="str">
        <f>IFERROR(__xludf.DUMMYFUNCTION("IF(REGEXMATCH($B175,N$1),$D175,"""")"),"")</f>
        <v/>
      </c>
      <c r="O175" s="13" t="str">
        <f>IFERROR(__xludf.DUMMYFUNCTION("IF(REGEXMATCH($B175,O$1),$D175,"""")"),"Animal Warrior")</f>
        <v>Animal Warrior</v>
      </c>
      <c r="P175" s="13" t="str">
        <f>IFERROR(__xludf.DUMMYFUNCTION("IF(REGEXMATCH($B175,P$1),$D175,"""")"),"")</f>
        <v/>
      </c>
      <c r="Q175" s="13">
        <f>IFERROR(__xludf.DUMMYFUNCTION("IF($A175="""","""",LEN(REGEXREPLACE($I175,"",\s?"","""")))"),1.0)</f>
        <v>1</v>
      </c>
      <c r="S175" s="13"/>
      <c r="T175" s="13"/>
      <c r="U175" s="13"/>
      <c r="V175" s="13"/>
      <c r="W175" s="13"/>
      <c r="X175" s="13"/>
      <c r="Y175" s="13"/>
      <c r="Z175" s="13"/>
      <c r="AA175" s="13"/>
      <c r="AB175" s="13"/>
    </row>
    <row r="176">
      <c r="A176" s="19" t="s">
        <v>848</v>
      </c>
      <c r="B176" s="19" t="s">
        <v>14</v>
      </c>
      <c r="C176" s="18">
        <v>1.0</v>
      </c>
      <c r="D176" s="18" t="s">
        <v>158</v>
      </c>
      <c r="E176" s="19" t="s">
        <v>849</v>
      </c>
      <c r="F176" s="10" t="str">
        <f>IFERROR(__xludf.DUMMYFUNCTION("IF(REGEXMATCH($E176,""Wizard""),""Wizard "","""")&amp;IF(REGEXMATCH($E176,""Construct""),""Construct "","""")&amp;IF(REGEXMATCH($E176,""Insect""),""Insect "","""")&amp;IF(REGEXMATCH($E176,""Dragon""),""Dragon "","""")&amp;IF(REGEXMATCH($E176,""Human""),""Human "","""")&amp;I"&amp;"F(REGEXMATCH($E176,""Hunter""),""Hunter "","""")&amp;IF(REGEXMATCH($E176,""Animal""),""Animal "","""")&amp;IF(REGEXMATCH($E176,""Undead""),""Undead "","""")&amp;IF(REGEXMATCH($E176,""Plant""),""Plant "","""")&amp;IF(REGEXMATCH($E176,""Dinosaur""),""Dinosaur "","""")&amp;IF(R"&amp;"EGEXMATCH($E176,""Warrior""),""Warrior "","""")&amp;IF(REGEXMATCH($E176,""Spirit""),""Spirit "","""")&amp;IF(REGEXMATCH($E176,""Angel""),""Angel "","""")&amp;IF(REGEXMATCH($E176,""Demon""),""Demon "","""")&amp;IF(REGEXMATCH($E176,""Divine""),""Divine "","""")&amp;IF(REGEXMAT"&amp;"CH($E176,""Elemental""),""Elemental "","""")&amp;IF(REGEXMATCH($E176,""Nature""),""Nature "","""")&amp;IF(REGEXMATCH($E176,""Mortal""),""Mortal "","""")&amp;IF(REGEXMATCH($E176,""Void""),""Void "","""")&amp;IF(REGEXMATCH($E176,""Unearth|Ambush|Ritual|unearth|ambush|ritua"&amp;"l""),""Unearth "","""")&amp;IF(REGEXMATCH($E176,""Unleash|Crystallize|all realms|Crystalborn|crystallize""),""Ramp "","""")&amp;IF(REGEXMATCH($E176,""Demon""),""Demon "","""")&amp;IF(REGEXMATCH($E176,""bury|buries|Bury|Buries|Cleanse|puts a Unit|trail|Trail""),""Cont"&amp;"rol "","""")&amp;IF(REGEXMATCH($E176,""Bounce|Return|Copy|bounce|return|copy""),""Copy "","""")&amp;IF(REGEXMATCH($E176,""conquer|Conquer|leading in lanes|lead by""),""Aggro "","""")&amp;IF(REGEXMATCH($E176,""Ascend|ascend""),""Ascend "","""")&amp;IF(REGEXMATCH($E176,""B"&amp;"ury .+ Crystal|.*crystal.*bury""),""Empty-Crystal"","""")&amp;IF(REGEXMATCH($E176,""Move|move""),""Move"","""")"),"")</f>
        <v/>
      </c>
      <c r="G176" s="20" t="s">
        <v>850</v>
      </c>
      <c r="H176" s="18">
        <v>3.0</v>
      </c>
      <c r="I176" s="18" t="s">
        <v>738</v>
      </c>
      <c r="J176" s="11" t="s">
        <v>33</v>
      </c>
      <c r="L176" s="13" t="str">
        <f>IFERROR(__xludf.DUMMYFUNCTION("IF(REGEXMATCH($B176,L$1),$D176,"""")"),"")</f>
        <v/>
      </c>
      <c r="M176" s="13" t="str">
        <f>IFERROR(__xludf.DUMMYFUNCTION("IF(REGEXMATCH($B176,M$1),$D176,"""")"),"")</f>
        <v/>
      </c>
      <c r="N176" s="13" t="str">
        <f>IFERROR(__xludf.DUMMYFUNCTION("IF(REGEXMATCH($B176,N$1),$D176,"""")"),"")</f>
        <v/>
      </c>
      <c r="O176" s="13" t="str">
        <f>IFERROR(__xludf.DUMMYFUNCTION("IF(REGEXMATCH($B176,O$1),$D176,"""")"),"Animal Construct")</f>
        <v>Animal Construct</v>
      </c>
      <c r="P176" s="13" t="str">
        <f>IFERROR(__xludf.DUMMYFUNCTION("IF(REGEXMATCH($B176,P$1),$D176,"""")"),"")</f>
        <v/>
      </c>
      <c r="Q176" s="13">
        <f>IFERROR(__xludf.DUMMYFUNCTION("IF($A176="""","""",LEN(REGEXREPLACE($I176,"",\s?"","""")))"),3.0)</f>
        <v>3</v>
      </c>
      <c r="S176" s="13"/>
      <c r="T176" s="13"/>
      <c r="U176" s="13"/>
      <c r="V176" s="13"/>
      <c r="W176" s="13"/>
      <c r="X176" s="13"/>
      <c r="Y176" s="13"/>
      <c r="Z176" s="13"/>
      <c r="AA176" s="13"/>
      <c r="AB176" s="13"/>
    </row>
    <row r="177">
      <c r="A177" s="22" t="s">
        <v>851</v>
      </c>
      <c r="B177" s="10" t="s">
        <v>14</v>
      </c>
      <c r="C177" s="11">
        <v>1.0</v>
      </c>
      <c r="D177" s="11" t="s">
        <v>158</v>
      </c>
      <c r="E177" s="10" t="s">
        <v>852</v>
      </c>
      <c r="F177" s="10" t="str">
        <f>IFERROR(__xludf.DUMMYFUNCTION("IF(REGEXMATCH($E177,""Wizard""),""Wizard "","""")&amp;IF(REGEXMATCH($E177,""Construct""),""Construct "","""")&amp;IF(REGEXMATCH($E177,""Insect""),""Insect "","""")&amp;IF(REGEXMATCH($E177,""Dragon""),""Dragon "","""")&amp;IF(REGEXMATCH($E177,""Human""),""Human "","""")&amp;I"&amp;"F(REGEXMATCH($E177,""Hunter""),""Hunter "","""")&amp;IF(REGEXMATCH($E177,""Animal""),""Animal "","""")&amp;IF(REGEXMATCH($E177,""Undead""),""Undead "","""")&amp;IF(REGEXMATCH($E177,""Plant""),""Plant "","""")&amp;IF(REGEXMATCH($E177,""Dinosaur""),""Dinosaur "","""")&amp;IF(R"&amp;"EGEXMATCH($E177,""Warrior""),""Warrior "","""")&amp;IF(REGEXMATCH($E177,""Spirit""),""Spirit "","""")&amp;IF(REGEXMATCH($E177,""Angel""),""Angel "","""")&amp;IF(REGEXMATCH($E177,""Demon""),""Demon "","""")&amp;IF(REGEXMATCH($E177,""Divine""),""Divine "","""")&amp;IF(REGEXMAT"&amp;"CH($E177,""Elemental""),""Elemental "","""")&amp;IF(REGEXMATCH($E177,""Nature""),""Nature "","""")&amp;IF(REGEXMATCH($E177,""Mortal""),""Mortal "","""")&amp;IF(REGEXMATCH($E177,""Void""),""Void "","""")&amp;IF(REGEXMATCH($E177,""Unearth|Ambush|Ritual|unearth|ambush|ritua"&amp;"l""),""Unearth "","""")&amp;IF(REGEXMATCH($E177,""Unleash|Crystallize|all realms|Crystalborn|crystallize""),""Ramp "","""")&amp;IF(REGEXMATCH($E177,""Demon""),""Demon "","""")&amp;IF(REGEXMATCH($E177,""bury|buries|Bury|Buries|Cleanse|puts a Unit|trail|Trail""),""Cont"&amp;"rol "","""")&amp;IF(REGEXMATCH($E177,""Bounce|Return|Copy|bounce|return|copy""),""Copy "","""")&amp;IF(REGEXMATCH($E177,""conquer|Conquer|leading in lanes|lead by""),""Aggro "","""")&amp;IF(REGEXMATCH($E177,""Ascend|ascend""),""Ascend "","""")&amp;IF(REGEXMATCH($E177,""B"&amp;"ury .+ Crystal|.*crystal.*bury""),""Empty-Crystal"","""")&amp;IF(REGEXMATCH($E177,""Move|move""),""Move"","""")"),"")</f>
        <v/>
      </c>
      <c r="G177" s="12" t="s">
        <v>853</v>
      </c>
      <c r="H177" s="11">
        <v>3.0</v>
      </c>
      <c r="I177" s="11" t="s">
        <v>845</v>
      </c>
      <c r="J177" s="11" t="s">
        <v>42</v>
      </c>
      <c r="L177" s="13" t="str">
        <f>IFERROR(__xludf.DUMMYFUNCTION("IF(REGEXMATCH($B177,L$1),$D177,"""")"),"")</f>
        <v/>
      </c>
      <c r="M177" s="13" t="str">
        <f>IFERROR(__xludf.DUMMYFUNCTION("IF(REGEXMATCH($B177,M$1),$D177,"""")"),"")</f>
        <v/>
      </c>
      <c r="N177" s="13" t="str">
        <f>IFERROR(__xludf.DUMMYFUNCTION("IF(REGEXMATCH($B177,N$1),$D177,"""")"),"")</f>
        <v/>
      </c>
      <c r="O177" s="13" t="str">
        <f>IFERROR(__xludf.DUMMYFUNCTION("IF(REGEXMATCH($B177,O$1),$D177,"""")"),"Animal Construct")</f>
        <v>Animal Construct</v>
      </c>
      <c r="P177" s="13" t="str">
        <f>IFERROR(__xludf.DUMMYFUNCTION("IF(REGEXMATCH($B177,P$1),$D177,"""")"),"")</f>
        <v/>
      </c>
      <c r="Q177" s="13">
        <f>IFERROR(__xludf.DUMMYFUNCTION("IF($A177="""","""",LEN(REGEXREPLACE($I177,"",\s?"","""")))"),6.0)</f>
        <v>6</v>
      </c>
      <c r="S177" s="13"/>
      <c r="T177" s="13"/>
      <c r="U177" s="13"/>
      <c r="V177" s="13"/>
      <c r="W177" s="13"/>
      <c r="X177" s="13"/>
      <c r="Y177" s="13"/>
      <c r="Z177" s="13"/>
      <c r="AA177" s="13"/>
      <c r="AB177" s="13"/>
    </row>
    <row r="178">
      <c r="A178" s="10" t="s">
        <v>854</v>
      </c>
      <c r="B178" s="10" t="s">
        <v>14</v>
      </c>
      <c r="C178" s="11">
        <v>1.0</v>
      </c>
      <c r="D178" s="11" t="s">
        <v>724</v>
      </c>
      <c r="E178" s="54" t="s">
        <v>855</v>
      </c>
      <c r="F178" s="10" t="str">
        <f>IFERROR(__xludf.DUMMYFUNCTION("IF(REGEXMATCH($E178,""Wizard""),""Wizard "","""")&amp;IF(REGEXMATCH($E178,""Construct""),""Construct "","""")&amp;IF(REGEXMATCH($E178,""Insect""),""Insect "","""")&amp;IF(REGEXMATCH($E178,""Dragon""),""Dragon "","""")&amp;IF(REGEXMATCH($E178,""Human""),""Human "","""")&amp;I"&amp;"F(REGEXMATCH($E178,""Hunter""),""Hunter "","""")&amp;IF(REGEXMATCH($E178,""Animal""),""Animal "","""")&amp;IF(REGEXMATCH($E178,""Undead""),""Undead "","""")&amp;IF(REGEXMATCH($E178,""Plant""),""Plant "","""")&amp;IF(REGEXMATCH($E178,""Dinosaur""),""Dinosaur "","""")&amp;IF(R"&amp;"EGEXMATCH($E178,""Warrior""),""Warrior "","""")&amp;IF(REGEXMATCH($E178,""Spirit""),""Spirit "","""")&amp;IF(REGEXMATCH($E178,""Angel""),""Angel "","""")&amp;IF(REGEXMATCH($E178,""Demon""),""Demon "","""")&amp;IF(REGEXMATCH($E178,""Divine""),""Divine "","""")&amp;IF(REGEXMAT"&amp;"CH($E178,""Elemental""),""Elemental "","""")&amp;IF(REGEXMATCH($E178,""Nature""),""Nature "","""")&amp;IF(REGEXMATCH($E178,""Mortal""),""Mortal "","""")&amp;IF(REGEXMATCH($E178,""Void""),""Void "","""")&amp;IF(REGEXMATCH($E178,""Unearth|Ambush|Ritual|unearth|ambush|ritua"&amp;"l""),""Unearth "","""")&amp;IF(REGEXMATCH($E178,""Unleash|Crystallize|all realms|Crystalborn|crystallize""),""Ramp "","""")&amp;IF(REGEXMATCH($E178,""Demon""),""Demon "","""")&amp;IF(REGEXMATCH($E178,""bury|buries|Bury|Buries|Cleanse|puts a Unit|trail|Trail""),""Cont"&amp;"rol "","""")&amp;IF(REGEXMATCH($E178,""Bounce|Return|Copy|bounce|return|copy""),""Copy "","""")&amp;IF(REGEXMATCH($E178,""conquer|Conquer|leading in lanes|lead by""),""Aggro "","""")&amp;IF(REGEXMATCH($E178,""Ascend|ascend""),""Ascend "","""")&amp;IF(REGEXMATCH($E178,""B"&amp;"ury .+ Crystal|.*crystal.*bury""),""Empty-Crystal"","""")&amp;IF(REGEXMATCH($E178,""Move|move""),""Move"","""")"),"Warrior ")</f>
        <v>Warrior </v>
      </c>
      <c r="G178" s="20" t="s">
        <v>856</v>
      </c>
      <c r="H178" s="11">
        <v>6.0</v>
      </c>
      <c r="I178" s="11" t="s">
        <v>857</v>
      </c>
      <c r="J178" s="11" t="s">
        <v>42</v>
      </c>
      <c r="L178" s="13" t="str">
        <f>IFERROR(__xludf.DUMMYFUNCTION("IF(REGEXMATCH($B178,L$1),$D178,"""")"),"")</f>
        <v/>
      </c>
      <c r="M178" s="13" t="str">
        <f>IFERROR(__xludf.DUMMYFUNCTION("IF(REGEXMATCH($B178,M$1),$D178,"""")"),"")</f>
        <v/>
      </c>
      <c r="N178" s="13" t="str">
        <f>IFERROR(__xludf.DUMMYFUNCTION("IF(REGEXMATCH($B178,N$1),$D178,"""")"),"")</f>
        <v/>
      </c>
      <c r="O178" s="13" t="str">
        <f>IFERROR(__xludf.DUMMYFUNCTION("IF(REGEXMATCH($B178,O$1),$D178,"""")"),"Animal Warrior")</f>
        <v>Animal Warrior</v>
      </c>
      <c r="P178" s="13" t="str">
        <f>IFERROR(__xludf.DUMMYFUNCTION("IF(REGEXMATCH($B178,P$1),$D178,"""")"),"")</f>
        <v/>
      </c>
      <c r="Q178" s="13">
        <f>IFERROR(__xludf.DUMMYFUNCTION("IF($A178="""","""",LEN(REGEXREPLACE($I178,"",\s?"","""")))"),4.0)</f>
        <v>4</v>
      </c>
      <c r="S178" s="13"/>
      <c r="T178" s="13"/>
      <c r="U178" s="13"/>
      <c r="V178" s="13"/>
      <c r="W178" s="13"/>
      <c r="X178" s="13"/>
      <c r="Y178" s="13"/>
      <c r="Z178" s="13"/>
      <c r="AA178" s="13"/>
      <c r="AB178" s="13"/>
    </row>
    <row r="179">
      <c r="A179" s="10" t="s">
        <v>858</v>
      </c>
      <c r="B179" s="10" t="s">
        <v>14</v>
      </c>
      <c r="C179" s="11">
        <v>1.0</v>
      </c>
      <c r="D179" s="11" t="s">
        <v>724</v>
      </c>
      <c r="E179" s="10" t="s">
        <v>859</v>
      </c>
      <c r="F179" s="10" t="str">
        <f>IFERROR(__xludf.DUMMYFUNCTION("IF(REGEXMATCH($E179,""Wizard""),""Wizard "","""")&amp;IF(REGEXMATCH($E179,""Construct""),""Construct "","""")&amp;IF(REGEXMATCH($E179,""Insect""),""Insect "","""")&amp;IF(REGEXMATCH($E179,""Dragon""),""Dragon "","""")&amp;IF(REGEXMATCH($E179,""Human""),""Human "","""")&amp;I"&amp;"F(REGEXMATCH($E179,""Hunter""),""Hunter "","""")&amp;IF(REGEXMATCH($E179,""Animal""),""Animal "","""")&amp;IF(REGEXMATCH($E179,""Undead""),""Undead "","""")&amp;IF(REGEXMATCH($E179,""Plant""),""Plant "","""")&amp;IF(REGEXMATCH($E179,""Dinosaur""),""Dinosaur "","""")&amp;IF(R"&amp;"EGEXMATCH($E179,""Warrior""),""Warrior "","""")&amp;IF(REGEXMATCH($E179,""Spirit""),""Spirit "","""")&amp;IF(REGEXMATCH($E179,""Angel""),""Angel "","""")&amp;IF(REGEXMATCH($E179,""Demon""),""Demon "","""")&amp;IF(REGEXMATCH($E179,""Divine""),""Divine "","""")&amp;IF(REGEXMAT"&amp;"CH($E179,""Elemental""),""Elemental "","""")&amp;IF(REGEXMATCH($E179,""Nature""),""Nature "","""")&amp;IF(REGEXMATCH($E179,""Mortal""),""Mortal "","""")&amp;IF(REGEXMATCH($E179,""Void""),""Void "","""")&amp;IF(REGEXMATCH($E179,""Unearth|Ambush|Ritual|unearth|ambush|ritua"&amp;"l""),""Unearth "","""")&amp;IF(REGEXMATCH($E179,""Unleash|Crystallize|all realms|Crystalborn|crystallize""),""Ramp "","""")&amp;IF(REGEXMATCH($E179,""Demon""),""Demon "","""")&amp;IF(REGEXMATCH($E179,""bury|buries|Bury|Buries|Cleanse|puts a Unit|trail|Trail""),""Cont"&amp;"rol "","""")&amp;IF(REGEXMATCH($E179,""Bounce|Return|Copy|bounce|return|copy""),""Copy "","""")&amp;IF(REGEXMATCH($E179,""conquer|Conquer|leading in lanes|lead by""),""Aggro "","""")&amp;IF(REGEXMATCH($E179,""Ascend|ascend""),""Ascend "","""")&amp;IF(REGEXMATCH($E179,""B"&amp;"ury .+ Crystal|.*crystal.*bury""),""Empty-Crystal"","""")&amp;IF(REGEXMATCH($E179,""Move|move""),""Move"","""")"),"Animal Warrior ")</f>
        <v>Animal Warrior </v>
      </c>
      <c r="G179" s="12" t="s">
        <v>860</v>
      </c>
      <c r="H179" s="11">
        <v>0.0</v>
      </c>
      <c r="I179" s="11" t="s">
        <v>823</v>
      </c>
      <c r="J179" s="11" t="s">
        <v>42</v>
      </c>
      <c r="L179" s="13" t="str">
        <f>IFERROR(__xludf.DUMMYFUNCTION("IF(REGEXMATCH($B179,L$1),$D179,"""")"),"")</f>
        <v/>
      </c>
      <c r="M179" s="13" t="str">
        <f>IFERROR(__xludf.DUMMYFUNCTION("IF(REGEXMATCH($B179,M$1),$D179,"""")"),"")</f>
        <v/>
      </c>
      <c r="N179" s="13" t="str">
        <f>IFERROR(__xludf.DUMMYFUNCTION("IF(REGEXMATCH($B179,N$1),$D179,"""")"),"")</f>
        <v/>
      </c>
      <c r="O179" s="13" t="str">
        <f>IFERROR(__xludf.DUMMYFUNCTION("IF(REGEXMATCH($B179,O$1),$D179,"""")"),"Animal Warrior")</f>
        <v>Animal Warrior</v>
      </c>
      <c r="P179" s="13" t="str">
        <f>IFERROR(__xludf.DUMMYFUNCTION("IF(REGEXMATCH($B179,P$1),$D179,"""")"),"")</f>
        <v/>
      </c>
      <c r="Q179" s="13">
        <f>IFERROR(__xludf.DUMMYFUNCTION("IF($A179="""","""",LEN(REGEXREPLACE($I179,"",\s?"","""")))"),4.0)</f>
        <v>4</v>
      </c>
      <c r="S179" s="13"/>
      <c r="T179" s="13"/>
      <c r="U179" s="13"/>
      <c r="V179" s="13"/>
      <c r="W179" s="13"/>
      <c r="X179" s="13"/>
      <c r="Y179" s="13"/>
      <c r="Z179" s="13"/>
      <c r="AA179" s="13"/>
      <c r="AB179" s="13"/>
    </row>
    <row r="180">
      <c r="A180" s="10" t="s">
        <v>861</v>
      </c>
      <c r="B180" s="10" t="s">
        <v>14</v>
      </c>
      <c r="C180" s="11">
        <v>1.0</v>
      </c>
      <c r="D180" s="11" t="s">
        <v>125</v>
      </c>
      <c r="E180" s="10" t="s">
        <v>862</v>
      </c>
      <c r="F180" s="10" t="str">
        <f>IFERROR(__xludf.DUMMYFUNCTION("IF(REGEXMATCH($E180,""Wizard""),""Wizard "","""")&amp;IF(REGEXMATCH($E180,""Construct""),""Construct "","""")&amp;IF(REGEXMATCH($E180,""Insect""),""Insect "","""")&amp;IF(REGEXMATCH($E180,""Dragon""),""Dragon "","""")&amp;IF(REGEXMATCH($E180,""Human""),""Human "","""")&amp;I"&amp;"F(REGEXMATCH($E180,""Hunter""),""Hunter "","""")&amp;IF(REGEXMATCH($E180,""Animal""),""Animal "","""")&amp;IF(REGEXMATCH($E180,""Undead""),""Undead "","""")&amp;IF(REGEXMATCH($E180,""Plant""),""Plant "","""")&amp;IF(REGEXMATCH($E180,""Dinosaur""),""Dinosaur "","""")&amp;IF(R"&amp;"EGEXMATCH($E180,""Warrior""),""Warrior "","""")&amp;IF(REGEXMATCH($E180,""Spirit""),""Spirit "","""")&amp;IF(REGEXMATCH($E180,""Angel""),""Angel "","""")&amp;IF(REGEXMATCH($E180,""Demon""),""Demon "","""")&amp;IF(REGEXMATCH($E180,""Divine""),""Divine "","""")&amp;IF(REGEXMAT"&amp;"CH($E180,""Elemental""),""Elemental "","""")&amp;IF(REGEXMATCH($E180,""Nature""),""Nature "","""")&amp;IF(REGEXMATCH($E180,""Mortal""),""Mortal "","""")&amp;IF(REGEXMATCH($E180,""Void""),""Void "","""")&amp;IF(REGEXMATCH($E180,""Unearth|Ambush|Ritual|unearth|ambush|ritua"&amp;"l""),""Unearth "","""")&amp;IF(REGEXMATCH($E180,""Unleash|Crystallize|all realms|Crystalborn|crystallize""),""Ramp "","""")&amp;IF(REGEXMATCH($E180,""Demon""),""Demon "","""")&amp;IF(REGEXMATCH($E180,""bury|buries|Bury|Buries|Cleanse|puts a Unit|trail|Trail""),""Cont"&amp;"rol "","""")&amp;IF(REGEXMATCH($E180,""Bounce|Return|Copy|bounce|return|copy""),""Copy "","""")&amp;IF(REGEXMATCH($E180,""conquer|Conquer|leading in lanes|lead by""),""Aggro "","""")&amp;IF(REGEXMATCH($E180,""Ascend|ascend""),""Ascend "","""")&amp;IF(REGEXMATCH($E180,""B"&amp;"ury .+ Crystal|.*crystal.*bury""),""Empty-Crystal"","""")&amp;IF(REGEXMATCH($E180,""Move|move""),""Move"","""")"),"Control Aggro ")</f>
        <v>Control Aggro </v>
      </c>
      <c r="G180" s="12" t="s">
        <v>863</v>
      </c>
      <c r="H180" s="11">
        <v>2.0</v>
      </c>
      <c r="I180" s="11" t="s">
        <v>767</v>
      </c>
      <c r="J180" s="11" t="s">
        <v>50</v>
      </c>
      <c r="L180" s="13" t="str">
        <f>IFERROR(__xludf.DUMMYFUNCTION("IF(REGEXMATCH($B180,L$1),$D180,"""")"),"")</f>
        <v/>
      </c>
      <c r="M180" s="13" t="str">
        <f>IFERROR(__xludf.DUMMYFUNCTION("IF(REGEXMATCH($B180,M$1),$D180,"""")"),"")</f>
        <v/>
      </c>
      <c r="N180" s="13" t="str">
        <f>IFERROR(__xludf.DUMMYFUNCTION("IF(REGEXMATCH($B180,N$1),$D180,"""")"),"")</f>
        <v/>
      </c>
      <c r="O180" s="13" t="str">
        <f>IFERROR(__xludf.DUMMYFUNCTION("IF(REGEXMATCH($B180,O$1),$D180,"""")"),"Construct")</f>
        <v>Construct</v>
      </c>
      <c r="P180" s="13" t="str">
        <f>IFERROR(__xludf.DUMMYFUNCTION("IF(REGEXMATCH($B180,P$1),$D180,"""")"),"")</f>
        <v/>
      </c>
      <c r="Q180" s="13">
        <f>IFERROR(__xludf.DUMMYFUNCTION("IF($A180="""","""",LEN(REGEXREPLACE($I180,"",\s?"","""")))"),4.0)</f>
        <v>4</v>
      </c>
      <c r="S180" s="13"/>
      <c r="T180" s="13"/>
      <c r="U180" s="13"/>
      <c r="V180" s="13"/>
      <c r="W180" s="13"/>
      <c r="X180" s="13"/>
      <c r="Y180" s="13"/>
      <c r="Z180" s="13"/>
      <c r="AA180" s="13"/>
      <c r="AB180" s="13"/>
    </row>
    <row r="181" hidden="1">
      <c r="A181" s="19" t="s">
        <v>864</v>
      </c>
      <c r="B181" s="19" t="s">
        <v>14</v>
      </c>
      <c r="C181" s="18">
        <v>2.0</v>
      </c>
      <c r="D181" s="18" t="s">
        <v>865</v>
      </c>
      <c r="E181" s="19" t="s">
        <v>866</v>
      </c>
      <c r="F181" s="10" t="str">
        <f>IFERROR(__xludf.DUMMYFUNCTION("IF(REGEXMATCH($E181,""Wizard""),""Wizard "","""")&amp;IF(REGEXMATCH($E181,""Construct""),""Construct "","""")&amp;IF(REGEXMATCH($E181,""Insect""),""Insect "","""")&amp;IF(REGEXMATCH($E181,""Dragon""),""Dragon "","""")&amp;IF(REGEXMATCH($E181,""Human""),""Human "","""")&amp;I"&amp;"F(REGEXMATCH($E181,""Hunter""),""Hunter "","""")&amp;IF(REGEXMATCH($E181,""Animal""),""Animal "","""")&amp;IF(REGEXMATCH($E181,""Undead""),""Undead "","""")&amp;IF(REGEXMATCH($E181,""Plant""),""Plant "","""")&amp;IF(REGEXMATCH($E181,""Dinosaur""),""Dinosaur "","""")&amp;IF(R"&amp;"EGEXMATCH($E181,""Warrior""),""Warrior "","""")&amp;IF(REGEXMATCH($E181,""Spirit""),""Spirit "","""")&amp;IF(REGEXMATCH($E181,""Angel""),""Angel "","""")&amp;IF(REGEXMATCH($E181,""Demon""),""Demon "","""")&amp;IF(REGEXMATCH($E181,""Divine""),""Divine "","""")&amp;IF(REGEXMAT"&amp;"CH($E181,""Elemental""),""Elemental "","""")&amp;IF(REGEXMATCH($E181,""Nature""),""Nature "","""")&amp;IF(REGEXMATCH($E181,""Mortal""),""Mortal "","""")&amp;IF(REGEXMATCH($E181,""Void""),""Void "","""")&amp;IF(REGEXMATCH($E181,""Unearth|Ambush|Ritual|unearth|ambush|ritua"&amp;"l""),""Unearth "","""")&amp;IF(REGEXMATCH($E181,""Unleash|Crystallize|all realms|Crystalborn|crystallize""),""Ramp "","""")&amp;IF(REGEXMATCH($E181,""Demon""),""Demon "","""")&amp;IF(REGEXMATCH($E181,""bury|buries|Bury|Buries|Cleanse|puts a Unit|trail|Trail""),""Cont"&amp;"rol "","""")&amp;IF(REGEXMATCH($E181,""Bounce|Return|Copy|bounce|return|copy""),""Copy "","""")&amp;IF(REGEXMATCH($E181,""conquer|Conquer|leading in lanes|lead by""),""Aggro "","""")&amp;IF(REGEXMATCH($E181,""Ascend|ascend""),""Ascend "","""")&amp;IF(REGEXMATCH($E181,""B"&amp;"ury .+ Crystal|.*crystal.*bury""),""Empty-Crystal"","""")&amp;IF(REGEXMATCH($E181,""Move|move""),""Move"","""")"),"")</f>
        <v/>
      </c>
      <c r="G181" s="20" t="s">
        <v>867</v>
      </c>
      <c r="H181" s="18">
        <v>5.0</v>
      </c>
      <c r="I181" s="18" t="s">
        <v>380</v>
      </c>
      <c r="J181" s="18" t="s">
        <v>42</v>
      </c>
      <c r="L181" s="13" t="str">
        <f>IFERROR(__xludf.DUMMYFUNCTION("IF(REGEXMATCH($B181,L$1),$D181,"""")"),"")</f>
        <v/>
      </c>
      <c r="M181" s="13" t="str">
        <f>IFERROR(__xludf.DUMMYFUNCTION("IF(REGEXMATCH($B181,M$1),$D181,"""")"),"")</f>
        <v/>
      </c>
      <c r="N181" s="13" t="str">
        <f>IFERROR(__xludf.DUMMYFUNCTION("IF(REGEXMATCH($B181,N$1),$D181,"""")"),"")</f>
        <v/>
      </c>
      <c r="O181" s="13" t="str">
        <f>IFERROR(__xludf.DUMMYFUNCTION("IF(REGEXMATCH($B181,O$1),$D181,"""")"),"Construct Hunter")</f>
        <v>Construct Hunter</v>
      </c>
      <c r="P181" s="13" t="str">
        <f>IFERROR(__xludf.DUMMYFUNCTION("IF(REGEXMATCH($B181,P$1),$D181,"""")"),"")</f>
        <v/>
      </c>
      <c r="Q181" s="13">
        <f>IFERROR(__xludf.DUMMYFUNCTION("IF($A181="""","""",LEN(REGEXREPLACE($I181,"",\s?"","""")))"),5.0)</f>
        <v>5</v>
      </c>
      <c r="S181" s="13"/>
      <c r="T181" s="13"/>
      <c r="U181" s="13"/>
      <c r="V181" s="13"/>
      <c r="W181" s="13"/>
      <c r="X181" s="13"/>
      <c r="Y181" s="13"/>
      <c r="Z181" s="13"/>
      <c r="AA181" s="13"/>
      <c r="AB181" s="13"/>
    </row>
    <row r="182" hidden="1">
      <c r="A182" s="46" t="s">
        <v>868</v>
      </c>
      <c r="B182" s="49" t="s">
        <v>869</v>
      </c>
      <c r="C182" s="48">
        <v>2.0</v>
      </c>
      <c r="D182" s="48" t="s">
        <v>870</v>
      </c>
      <c r="E182" s="49" t="s">
        <v>871</v>
      </c>
      <c r="F182" s="10" t="str">
        <f>IFERROR(__xludf.DUMMYFUNCTION("IF(REGEXMATCH($E182,""Wizard""),""Wizard "","""")&amp;IF(REGEXMATCH($E182,""Construct""),""Construct "","""")&amp;IF(REGEXMATCH($E182,""Insect""),""Insect "","""")&amp;IF(REGEXMATCH($E182,""Dragon""),""Dragon "","""")&amp;IF(REGEXMATCH($E182,""Human""),""Human "","""")&amp;I"&amp;"F(REGEXMATCH($E182,""Hunter""),""Hunter "","""")&amp;IF(REGEXMATCH($E182,""Animal""),""Animal "","""")&amp;IF(REGEXMATCH($E182,""Undead""),""Undead "","""")&amp;IF(REGEXMATCH($E182,""Plant""),""Plant "","""")&amp;IF(REGEXMATCH($E182,""Dinosaur""),""Dinosaur "","""")&amp;IF(R"&amp;"EGEXMATCH($E182,""Warrior""),""Warrior "","""")&amp;IF(REGEXMATCH($E182,""Spirit""),""Spirit "","""")&amp;IF(REGEXMATCH($E182,""Angel""),""Angel "","""")&amp;IF(REGEXMATCH($E182,""Demon""),""Demon "","""")&amp;IF(REGEXMATCH($E182,""Divine""),""Divine "","""")&amp;IF(REGEXMAT"&amp;"CH($E182,""Elemental""),""Elemental "","""")&amp;IF(REGEXMATCH($E182,""Nature""),""Nature "","""")&amp;IF(REGEXMATCH($E182,""Mortal""),""Mortal "","""")&amp;IF(REGEXMATCH($E182,""Void""),""Void "","""")&amp;IF(REGEXMATCH($E182,""Unearth|Ambush|Ritual|unearth|ambush|ritua"&amp;"l""),""Unearth "","""")&amp;IF(REGEXMATCH($E182,""Unleash|Crystallize|all realms|Crystalborn|crystallize""),""Ramp "","""")&amp;IF(REGEXMATCH($E182,""Demon""),""Demon "","""")&amp;IF(REGEXMATCH($E182,""bury|buries|Bury|Buries|Cleanse|puts a Unit|trail|Trail""),""Cont"&amp;"rol "","""")&amp;IF(REGEXMATCH($E182,""Bounce|Return|Copy|bounce|return|copy""),""Copy "","""")&amp;IF(REGEXMATCH($E182,""conquer|Conquer|leading in lanes|lead by""),""Aggro "","""")&amp;IF(REGEXMATCH($E182,""Ascend|ascend""),""Ascend "","""")&amp;IF(REGEXMATCH($E182,""B"&amp;"ury .+ Crystal|.*crystal.*bury""),""Empty-Crystal"","""")&amp;IF(REGEXMATCH($E182,""Move|move""),""Move"","""")"),"")</f>
        <v/>
      </c>
      <c r="G182" s="50" t="s">
        <v>40</v>
      </c>
      <c r="H182" s="51">
        <v>7.0</v>
      </c>
      <c r="I182" s="48" t="s">
        <v>872</v>
      </c>
      <c r="J182" s="51" t="s">
        <v>50</v>
      </c>
      <c r="L182" s="13" t="str">
        <f>IFERROR(__xludf.DUMMYFUNCTION("IF(REGEXMATCH($B182,L$1),$D182,"""")"),"")</f>
        <v/>
      </c>
      <c r="M182" s="13" t="str">
        <f>IFERROR(__xludf.DUMMYFUNCTION("IF(REGEXMATCH($B182,M$1),$D182,"""")"),"Insect Warrior")</f>
        <v>Insect Warrior</v>
      </c>
      <c r="N182" s="13" t="str">
        <f>IFERROR(__xludf.DUMMYFUNCTION("IF(REGEXMATCH($B182,N$1),$D182,"""")"),"")</f>
        <v/>
      </c>
      <c r="O182" s="13" t="str">
        <f>IFERROR(__xludf.DUMMYFUNCTION("IF(REGEXMATCH($B182,O$1),$D182,"""")"),"Insect Warrior")</f>
        <v>Insect Warrior</v>
      </c>
      <c r="P182" s="13" t="str">
        <f>IFERROR(__xludf.DUMMYFUNCTION("IF(REGEXMATCH($B182,P$1),$D182,"""")"),"")</f>
        <v/>
      </c>
      <c r="Q182" s="13">
        <f>IFERROR(__xludf.DUMMYFUNCTION("IF($A182="""","""",LEN(REGEXREPLACE($I182,"",\s?"","""")))"),6.0)</f>
        <v>6</v>
      </c>
      <c r="S182" s="13"/>
      <c r="T182" s="13"/>
      <c r="U182" s="13"/>
      <c r="V182" s="13"/>
      <c r="W182" s="13"/>
      <c r="X182" s="13"/>
      <c r="Y182" s="13"/>
      <c r="Z182" s="13"/>
      <c r="AA182" s="13"/>
      <c r="AB182" s="13"/>
    </row>
    <row r="183" ht="14.25" customHeight="1">
      <c r="A183" s="22" t="s">
        <v>873</v>
      </c>
      <c r="B183" s="10" t="s">
        <v>14</v>
      </c>
      <c r="C183" s="11">
        <v>1.0</v>
      </c>
      <c r="D183" s="11" t="s">
        <v>125</v>
      </c>
      <c r="E183" s="10" t="s">
        <v>874</v>
      </c>
      <c r="F183" s="10" t="str">
        <f>IFERROR(__xludf.DUMMYFUNCTION("IF(REGEXMATCH($E183,""Wizard""),""Wizard "","""")&amp;IF(REGEXMATCH($E183,""Construct""),""Construct "","""")&amp;IF(REGEXMATCH($E183,""Insect""),""Insect "","""")&amp;IF(REGEXMATCH($E183,""Dragon""),""Dragon "","""")&amp;IF(REGEXMATCH($E183,""Human""),""Human "","""")&amp;I"&amp;"F(REGEXMATCH($E183,""Hunter""),""Hunter "","""")&amp;IF(REGEXMATCH($E183,""Animal""),""Animal "","""")&amp;IF(REGEXMATCH($E183,""Undead""),""Undead "","""")&amp;IF(REGEXMATCH($E183,""Plant""),""Plant "","""")&amp;IF(REGEXMATCH($E183,""Dinosaur""),""Dinosaur "","""")&amp;IF(R"&amp;"EGEXMATCH($E183,""Warrior""),""Warrior "","""")&amp;IF(REGEXMATCH($E183,""Spirit""),""Spirit "","""")&amp;IF(REGEXMATCH($E183,""Angel""),""Angel "","""")&amp;IF(REGEXMATCH($E183,""Demon""),""Demon "","""")&amp;IF(REGEXMATCH($E183,""Divine""),""Divine "","""")&amp;IF(REGEXMAT"&amp;"CH($E183,""Elemental""),""Elemental "","""")&amp;IF(REGEXMATCH($E183,""Nature""),""Nature "","""")&amp;IF(REGEXMATCH($E183,""Mortal""),""Mortal "","""")&amp;IF(REGEXMATCH($E183,""Void""),""Void "","""")&amp;IF(REGEXMATCH($E183,""Unearth|Ambush|Ritual|unearth|ambush|ritua"&amp;"l""),""Unearth "","""")&amp;IF(REGEXMATCH($E183,""Unleash|Crystallize|all realms|Crystalborn|crystallize""),""Ramp "","""")&amp;IF(REGEXMATCH($E183,""Demon""),""Demon "","""")&amp;IF(REGEXMATCH($E183,""bury|buries|Bury|Buries|Cleanse|puts a Unit|trail|Trail""),""Cont"&amp;"rol "","""")&amp;IF(REGEXMATCH($E183,""Bounce|Return|Copy|bounce|return|copy""),""Copy "","""")&amp;IF(REGEXMATCH($E183,""conquer|Conquer|leading in lanes|lead by""),""Aggro "","""")&amp;IF(REGEXMATCH($E183,""Ascend|ascend""),""Ascend "","""")&amp;IF(REGEXMATCH($E183,""B"&amp;"ury .+ Crystal|.*crystal.*bury""),""Empty-Crystal"","""")&amp;IF(REGEXMATCH($E183,""Move|move""),""Move"","""")"),"Construct Move")</f>
        <v>Construct Move</v>
      </c>
      <c r="G183" s="12" t="s">
        <v>875</v>
      </c>
      <c r="H183" s="11">
        <v>4.0</v>
      </c>
      <c r="I183" s="11" t="s">
        <v>823</v>
      </c>
      <c r="J183" s="11" t="s">
        <v>42</v>
      </c>
      <c r="L183" s="13" t="str">
        <f>IFERROR(__xludf.DUMMYFUNCTION("IF(REGEXMATCH($B183,L$1),$D183,"""")"),"")</f>
        <v/>
      </c>
      <c r="M183" s="13" t="str">
        <f>IFERROR(__xludf.DUMMYFUNCTION("IF(REGEXMATCH($B183,M$1),$D183,"""")"),"")</f>
        <v/>
      </c>
      <c r="N183" s="13" t="str">
        <f>IFERROR(__xludf.DUMMYFUNCTION("IF(REGEXMATCH($B183,N$1),$D183,"""")"),"")</f>
        <v/>
      </c>
      <c r="O183" s="13" t="str">
        <f>IFERROR(__xludf.DUMMYFUNCTION("IF(REGEXMATCH($B183,O$1),$D183,"""")"),"Construct")</f>
        <v>Construct</v>
      </c>
      <c r="P183" s="13" t="str">
        <f>IFERROR(__xludf.DUMMYFUNCTION("IF(REGEXMATCH($B183,P$1),$D183,"""")"),"")</f>
        <v/>
      </c>
      <c r="Q183" s="13">
        <f>IFERROR(__xludf.DUMMYFUNCTION("IF($A183="""","""",LEN(REGEXREPLACE($I183,"",\s?"","""")))"),4.0)</f>
        <v>4</v>
      </c>
      <c r="S183" s="13"/>
      <c r="T183" s="13"/>
      <c r="U183" s="13"/>
      <c r="V183" s="13"/>
      <c r="W183" s="13"/>
      <c r="X183" s="13"/>
      <c r="Y183" s="13"/>
      <c r="Z183" s="13"/>
      <c r="AA183" s="13"/>
      <c r="AB183" s="13"/>
    </row>
    <row r="184">
      <c r="A184" s="22" t="s">
        <v>876</v>
      </c>
      <c r="B184" s="10" t="s">
        <v>14</v>
      </c>
      <c r="C184" s="11">
        <v>1.0</v>
      </c>
      <c r="D184" s="11" t="s">
        <v>272</v>
      </c>
      <c r="E184" s="10" t="s">
        <v>877</v>
      </c>
      <c r="F184" s="10" t="str">
        <f>IFERROR(__xludf.DUMMYFUNCTION("IF(REGEXMATCH($E184,""Wizard""),""Wizard "","""")&amp;IF(REGEXMATCH($E184,""Construct""),""Construct "","""")&amp;IF(REGEXMATCH($E184,""Insect""),""Insect "","""")&amp;IF(REGEXMATCH($E184,""Dragon""),""Dragon "","""")&amp;IF(REGEXMATCH($E184,""Human""),""Human "","""")&amp;I"&amp;"F(REGEXMATCH($E184,""Hunter""),""Hunter "","""")&amp;IF(REGEXMATCH($E184,""Animal""),""Animal "","""")&amp;IF(REGEXMATCH($E184,""Undead""),""Undead "","""")&amp;IF(REGEXMATCH($E184,""Plant""),""Plant "","""")&amp;IF(REGEXMATCH($E184,""Dinosaur""),""Dinosaur "","""")&amp;IF(R"&amp;"EGEXMATCH($E184,""Warrior""),""Warrior "","""")&amp;IF(REGEXMATCH($E184,""Spirit""),""Spirit "","""")&amp;IF(REGEXMATCH($E184,""Angel""),""Angel "","""")&amp;IF(REGEXMATCH($E184,""Demon""),""Demon "","""")&amp;IF(REGEXMATCH($E184,""Divine""),""Divine "","""")&amp;IF(REGEXMAT"&amp;"CH($E184,""Elemental""),""Elemental "","""")&amp;IF(REGEXMATCH($E184,""Nature""),""Nature "","""")&amp;IF(REGEXMATCH($E184,""Mortal""),""Mortal "","""")&amp;IF(REGEXMATCH($E184,""Void""),""Void "","""")&amp;IF(REGEXMATCH($E184,""Unearth|Ambush|Ritual|unearth|ambush|ritua"&amp;"l""),""Unearth "","""")&amp;IF(REGEXMATCH($E184,""Unleash|Crystallize|all realms|Crystalborn|crystallize""),""Ramp "","""")&amp;IF(REGEXMATCH($E184,""Demon""),""Demon "","""")&amp;IF(REGEXMATCH($E184,""bury|buries|Bury|Buries|Cleanse|puts a Unit|trail|Trail""),""Cont"&amp;"rol "","""")&amp;IF(REGEXMATCH($E184,""Bounce|Return|Copy|bounce|return|copy""),""Copy "","""")&amp;IF(REGEXMATCH($E184,""conquer|Conquer|leading in lanes|lead by""),""Aggro "","""")&amp;IF(REGEXMATCH($E184,""Ascend|ascend""),""Ascend "","""")&amp;IF(REGEXMATCH($E184,""B"&amp;"ury .+ Crystal|.*crystal.*bury""),""Empty-Crystal"","""")&amp;IF(REGEXMATCH($E184,""Move|move""),""Move"","""")"),"Warrior ")</f>
        <v>Warrior </v>
      </c>
      <c r="G184" s="12" t="s">
        <v>878</v>
      </c>
      <c r="H184" s="11">
        <v>2.0</v>
      </c>
      <c r="I184" s="11" t="s">
        <v>738</v>
      </c>
      <c r="J184" s="11" t="s">
        <v>50</v>
      </c>
      <c r="L184" s="13" t="str">
        <f>IFERROR(__xludf.DUMMYFUNCTION("IF(REGEXMATCH($B184,L$1),$D184,"""")"),"")</f>
        <v/>
      </c>
      <c r="M184" s="13" t="str">
        <f>IFERROR(__xludf.DUMMYFUNCTION("IF(REGEXMATCH($B184,M$1),$D184,"""")"),"")</f>
        <v/>
      </c>
      <c r="N184" s="13" t="str">
        <f>IFERROR(__xludf.DUMMYFUNCTION("IF(REGEXMATCH($B184,N$1),$D184,"""")"),"")</f>
        <v/>
      </c>
      <c r="O184" s="13" t="str">
        <f>IFERROR(__xludf.DUMMYFUNCTION("IF(REGEXMATCH($B184,O$1),$D184,"""")"),"Construct Warrior")</f>
        <v>Construct Warrior</v>
      </c>
      <c r="P184" s="13" t="str">
        <f>IFERROR(__xludf.DUMMYFUNCTION("IF(REGEXMATCH($B184,P$1),$D184,"""")"),"")</f>
        <v/>
      </c>
      <c r="Q184" s="13">
        <f>IFERROR(__xludf.DUMMYFUNCTION("IF($A184="""","""",LEN(REGEXREPLACE($I184,"",\s?"","""")))"),3.0)</f>
        <v>3</v>
      </c>
      <c r="S184" s="13"/>
      <c r="T184" s="13"/>
      <c r="U184" s="13"/>
      <c r="V184" s="13"/>
      <c r="W184" s="13"/>
      <c r="X184" s="13"/>
      <c r="Y184" s="13"/>
      <c r="Z184" s="13"/>
      <c r="AA184" s="13"/>
      <c r="AB184" s="13"/>
    </row>
    <row r="185" ht="16.5" customHeight="1">
      <c r="A185" s="31" t="s">
        <v>879</v>
      </c>
      <c r="B185" s="19" t="s">
        <v>14</v>
      </c>
      <c r="C185" s="18">
        <v>1.0</v>
      </c>
      <c r="D185" s="18" t="s">
        <v>302</v>
      </c>
      <c r="E185" s="19" t="s">
        <v>880</v>
      </c>
      <c r="F185" s="10" t="str">
        <f>IFERROR(__xludf.DUMMYFUNCTION("IF(REGEXMATCH($E185,""Wizard""),""Wizard "","""")&amp;IF(REGEXMATCH($E185,""Construct""),""Construct "","""")&amp;IF(REGEXMATCH($E185,""Insect""),""Insect "","""")&amp;IF(REGEXMATCH($E185,""Dragon""),""Dragon "","""")&amp;IF(REGEXMATCH($E185,""Human""),""Human "","""")&amp;I"&amp;"F(REGEXMATCH($E185,""Hunter""),""Hunter "","""")&amp;IF(REGEXMATCH($E185,""Animal""),""Animal "","""")&amp;IF(REGEXMATCH($E185,""Undead""),""Undead "","""")&amp;IF(REGEXMATCH($E185,""Plant""),""Plant "","""")&amp;IF(REGEXMATCH($E185,""Dinosaur""),""Dinosaur "","""")&amp;IF(R"&amp;"EGEXMATCH($E185,""Warrior""),""Warrior "","""")&amp;IF(REGEXMATCH($E185,""Spirit""),""Spirit "","""")&amp;IF(REGEXMATCH($E185,""Angel""),""Angel "","""")&amp;IF(REGEXMATCH($E185,""Demon""),""Demon "","""")&amp;IF(REGEXMATCH($E185,""Divine""),""Divine "","""")&amp;IF(REGEXMAT"&amp;"CH($E185,""Elemental""),""Elemental "","""")&amp;IF(REGEXMATCH($E185,""Nature""),""Nature "","""")&amp;IF(REGEXMATCH($E185,""Mortal""),""Mortal "","""")&amp;IF(REGEXMATCH($E185,""Void""),""Void "","""")&amp;IF(REGEXMATCH($E185,""Unearth|Ambush|Ritual|unearth|ambush|ritua"&amp;"l""),""Unearth "","""")&amp;IF(REGEXMATCH($E185,""Unleash|Crystallize|all realms|Crystalborn|crystallize""),""Ramp "","""")&amp;IF(REGEXMATCH($E185,""Demon""),""Demon "","""")&amp;IF(REGEXMATCH($E185,""bury|buries|Bury|Buries|Cleanse|puts a Unit|trail|Trail""),""Cont"&amp;"rol "","""")&amp;IF(REGEXMATCH($E185,""Bounce|Return|Copy|bounce|return|copy""),""Copy "","""")&amp;IF(REGEXMATCH($E185,""conquer|Conquer|leading in lanes|lead by""),""Aggro "","""")&amp;IF(REGEXMATCH($E185,""Ascend|ascend""),""Ascend "","""")&amp;IF(REGEXMATCH($E185,""B"&amp;"ury .+ Crystal|.*crystal.*bury""),""Empty-Crystal"","""")&amp;IF(REGEXMATCH($E185,""Move|move""),""Move"","""")"),"Mortal Ramp ")</f>
        <v>Mortal Ramp </v>
      </c>
      <c r="G185" s="20" t="s">
        <v>881</v>
      </c>
      <c r="H185" s="18">
        <v>6.0</v>
      </c>
      <c r="I185" s="18" t="s">
        <v>845</v>
      </c>
      <c r="J185" s="18" t="s">
        <v>33</v>
      </c>
      <c r="L185" s="13" t="str">
        <f>IFERROR(__xludf.DUMMYFUNCTION("IF(REGEXMATCH($B185,L$1),$D185,"""")"),"")</f>
        <v/>
      </c>
      <c r="M185" s="13" t="str">
        <f>IFERROR(__xludf.DUMMYFUNCTION("IF(REGEXMATCH($B185,M$1),$D185,"""")"),"")</f>
        <v/>
      </c>
      <c r="N185" s="13" t="str">
        <f>IFERROR(__xludf.DUMMYFUNCTION("IF(REGEXMATCH($B185,N$1),$D185,"""")"),"")</f>
        <v/>
      </c>
      <c r="O185" s="13" t="str">
        <f>IFERROR(__xludf.DUMMYFUNCTION("IF(REGEXMATCH($B185,O$1),$D185,"""")"),"Dinosaur")</f>
        <v>Dinosaur</v>
      </c>
      <c r="P185" s="13" t="str">
        <f>IFERROR(__xludf.DUMMYFUNCTION("IF(REGEXMATCH($B185,P$1),$D185,"""")"),"")</f>
        <v/>
      </c>
      <c r="Q185" s="13">
        <f>IFERROR(__xludf.DUMMYFUNCTION("IF($A185="""","""",LEN(REGEXREPLACE($I185,"",\s?"","""")))"),6.0)</f>
        <v>6</v>
      </c>
      <c r="S185" s="13"/>
      <c r="T185" s="13"/>
      <c r="U185" s="13"/>
      <c r="V185" s="13"/>
      <c r="W185" s="13"/>
      <c r="X185" s="13"/>
      <c r="Y185" s="13"/>
      <c r="Z185" s="13"/>
      <c r="AA185" s="13"/>
      <c r="AB185" s="13"/>
    </row>
    <row r="186">
      <c r="A186" s="76" t="s">
        <v>882</v>
      </c>
      <c r="B186" s="10" t="s">
        <v>14</v>
      </c>
      <c r="C186" s="11">
        <v>1.0</v>
      </c>
      <c r="D186" s="25" t="s">
        <v>677</v>
      </c>
      <c r="E186" s="66" t="s">
        <v>883</v>
      </c>
      <c r="F186" s="10" t="str">
        <f>IFERROR(__xludf.DUMMYFUNCTION("IF(REGEXMATCH($E186,""Wizard""),""Wizard "","""")&amp;IF(REGEXMATCH($E186,""Construct""),""Construct "","""")&amp;IF(REGEXMATCH($E186,""Insect""),""Insect "","""")&amp;IF(REGEXMATCH($E186,""Dragon""),""Dragon "","""")&amp;IF(REGEXMATCH($E186,""Human""),""Human "","""")&amp;I"&amp;"F(REGEXMATCH($E186,""Hunter""),""Hunter "","""")&amp;IF(REGEXMATCH($E186,""Animal""),""Animal "","""")&amp;IF(REGEXMATCH($E186,""Undead""),""Undead "","""")&amp;IF(REGEXMATCH($E186,""Plant""),""Plant "","""")&amp;IF(REGEXMATCH($E186,""Dinosaur""),""Dinosaur "","""")&amp;IF(R"&amp;"EGEXMATCH($E186,""Warrior""),""Warrior "","""")&amp;IF(REGEXMATCH($E186,""Spirit""),""Spirit "","""")&amp;IF(REGEXMATCH($E186,""Angel""),""Angel "","""")&amp;IF(REGEXMATCH($E186,""Demon""),""Demon "","""")&amp;IF(REGEXMATCH($E186,""Divine""),""Divine "","""")&amp;IF(REGEXMAT"&amp;"CH($E186,""Elemental""),""Elemental "","""")&amp;IF(REGEXMATCH($E186,""Nature""),""Nature "","""")&amp;IF(REGEXMATCH($E186,""Mortal""),""Mortal "","""")&amp;IF(REGEXMATCH($E186,""Void""),""Void "","""")&amp;IF(REGEXMATCH($E186,""Unearth|Ambush|Ritual|unearth|ambush|ritua"&amp;"l""),""Unearth "","""")&amp;IF(REGEXMATCH($E186,""Unleash|Crystallize|all realms|Crystalborn|crystallize""),""Ramp "","""")&amp;IF(REGEXMATCH($E186,""Demon""),""Demon "","""")&amp;IF(REGEXMATCH($E186,""bury|buries|Bury|Buries|Cleanse|puts a Unit|trail|Trail""),""Cont"&amp;"rol "","""")&amp;IF(REGEXMATCH($E186,""Bounce|Return|Copy|bounce|return|copy""),""Copy "","""")&amp;IF(REGEXMATCH($E186,""conquer|Conquer|leading in lanes|lead by""),""Aggro "","""")&amp;IF(REGEXMATCH($E186,""Ascend|ascend""),""Ascend "","""")&amp;IF(REGEXMATCH($E186,""B"&amp;"ury .+ Crystal|.*crystal.*bury""),""Empty-Crystal"","""")&amp;IF(REGEXMATCH($E186,""Move|move""),""Move"","""")"),"Aggro ")</f>
        <v>Aggro </v>
      </c>
      <c r="G186" s="77" t="s">
        <v>884</v>
      </c>
      <c r="H186" s="11">
        <v>3.0</v>
      </c>
      <c r="I186" s="11" t="s">
        <v>793</v>
      </c>
      <c r="J186" s="21" t="s">
        <v>50</v>
      </c>
      <c r="L186" s="13" t="str">
        <f>IFERROR(__xludf.DUMMYFUNCTION("IF(REGEXMATCH($B186,L$1),$D186,"""")"),"")</f>
        <v/>
      </c>
      <c r="M186" s="13" t="str">
        <f>IFERROR(__xludf.DUMMYFUNCTION("IF(REGEXMATCH($B186,M$1),$D186,"""")"),"")</f>
        <v/>
      </c>
      <c r="N186" s="13" t="str">
        <f>IFERROR(__xludf.DUMMYFUNCTION("IF(REGEXMATCH($B186,N$1),$D186,"""")"),"")</f>
        <v/>
      </c>
      <c r="O186" s="13" t="str">
        <f>IFERROR(__xludf.DUMMYFUNCTION("IF(REGEXMATCH($B186,O$1),$D186,"""")"),"Dinosaur Warrior")</f>
        <v>Dinosaur Warrior</v>
      </c>
      <c r="P186" s="13" t="str">
        <f>IFERROR(__xludf.DUMMYFUNCTION("IF(REGEXMATCH($B186,P$1),$D186,"""")"),"")</f>
        <v/>
      </c>
      <c r="Q186" s="13">
        <f>IFERROR(__xludf.DUMMYFUNCTION("IF($A186="""","""",LEN(REGEXREPLACE($I186,"",\s?"","""")))"),5.0)</f>
        <v>5</v>
      </c>
      <c r="S186" s="13"/>
      <c r="T186" s="13"/>
      <c r="U186" s="13"/>
      <c r="V186" s="13"/>
      <c r="W186" s="13"/>
      <c r="X186" s="13"/>
      <c r="Y186" s="13"/>
      <c r="Z186" s="13"/>
      <c r="AA186" s="13"/>
      <c r="AB186" s="13"/>
    </row>
    <row r="187" hidden="1">
      <c r="A187" s="10" t="s">
        <v>885</v>
      </c>
      <c r="B187" s="10" t="s">
        <v>869</v>
      </c>
      <c r="C187" s="11">
        <v>2.0</v>
      </c>
      <c r="D187" s="11" t="s">
        <v>363</v>
      </c>
      <c r="E187" s="10" t="s">
        <v>886</v>
      </c>
      <c r="F187" s="10" t="str">
        <f>IFERROR(__xludf.DUMMYFUNCTION("IF(REGEXMATCH($E187,""Wizard""),""Wizard "","""")&amp;IF(REGEXMATCH($E187,""Construct""),""Construct "","""")&amp;IF(REGEXMATCH($E187,""Insect""),""Insect "","""")&amp;IF(REGEXMATCH($E187,""Dragon""),""Dragon "","""")&amp;IF(REGEXMATCH($E187,""Human""),""Human "","""")&amp;I"&amp;"F(REGEXMATCH($E187,""Hunter""),""Hunter "","""")&amp;IF(REGEXMATCH($E187,""Animal""),""Animal "","""")&amp;IF(REGEXMATCH($E187,""Undead""),""Undead "","""")&amp;IF(REGEXMATCH($E187,""Plant""),""Plant "","""")&amp;IF(REGEXMATCH($E187,""Dinosaur""),""Dinosaur "","""")&amp;IF(R"&amp;"EGEXMATCH($E187,""Warrior""),""Warrior "","""")&amp;IF(REGEXMATCH($E187,""Spirit""),""Spirit "","""")&amp;IF(REGEXMATCH($E187,""Angel""),""Angel "","""")&amp;IF(REGEXMATCH($E187,""Demon""),""Demon "","""")&amp;IF(REGEXMATCH($E187,""Divine""),""Divine "","""")&amp;IF(REGEXMAT"&amp;"CH($E187,""Elemental""),""Elemental "","""")&amp;IF(REGEXMATCH($E187,""Nature""),""Nature "","""")&amp;IF(REGEXMATCH($E187,""Mortal""),""Mortal "","""")&amp;IF(REGEXMATCH($E187,""Void""),""Void "","""")&amp;IF(REGEXMATCH($E187,""Unearth|Ambush|Ritual|unearth|ambush|ritua"&amp;"l""),""Unearth "","""")&amp;IF(REGEXMATCH($E187,""Unleash|Crystallize|all realms|Crystalborn|crystallize""),""Ramp "","""")&amp;IF(REGEXMATCH($E187,""Demon""),""Demon "","""")&amp;IF(REGEXMATCH($E187,""bury|buries|Bury|Buries|Cleanse|puts a Unit|trail|Trail""),""Cont"&amp;"rol "","""")&amp;IF(REGEXMATCH($E187,""Bounce|Return|Copy|bounce|return|copy""),""Copy "","""")&amp;IF(REGEXMATCH($E187,""conquer|Conquer|leading in lanes|lead by""),""Aggro "","""")&amp;IF(REGEXMATCH($E187,""Ascend|ascend""),""Ascend "","""")&amp;IF(REGEXMATCH($E187,""B"&amp;"ury .+ Crystal|.*crystal.*bury""),""Empty-Crystal"","""")&amp;IF(REGEXMATCH($E187,""Move|move""),""Move"","""")"),"Animal ")</f>
        <v>Animal </v>
      </c>
      <c r="G187" s="12" t="s">
        <v>887</v>
      </c>
      <c r="H187" s="11">
        <v>3.0</v>
      </c>
      <c r="I187" s="11" t="s">
        <v>888</v>
      </c>
      <c r="J187" s="11" t="s">
        <v>50</v>
      </c>
      <c r="L187" s="13" t="str">
        <f>IFERROR(__xludf.DUMMYFUNCTION("IF(REGEXMATCH($B187,L$1),$D187,"""")"),"")</f>
        <v/>
      </c>
      <c r="M187" s="13" t="str">
        <f>IFERROR(__xludf.DUMMYFUNCTION("IF(REGEXMATCH($B187,M$1),$D187,"""")"),"Human Warrior")</f>
        <v>Human Warrior</v>
      </c>
      <c r="N187" s="13" t="str">
        <f>IFERROR(__xludf.DUMMYFUNCTION("IF(REGEXMATCH($B187,N$1),$D187,"""")"),"")</f>
        <v/>
      </c>
      <c r="O187" s="13" t="str">
        <f>IFERROR(__xludf.DUMMYFUNCTION("IF(REGEXMATCH($B187,O$1),$D187,"""")"),"Human Warrior")</f>
        <v>Human Warrior</v>
      </c>
      <c r="P187" s="13" t="str">
        <f>IFERROR(__xludf.DUMMYFUNCTION("IF(REGEXMATCH($B187,P$1),$D187,"""")"),"")</f>
        <v/>
      </c>
      <c r="Q187" s="13">
        <f>IFERROR(__xludf.DUMMYFUNCTION("IF($A187="""","""",LEN(REGEXREPLACE($I187,"",\s?"","""")))"),4.0)</f>
        <v>4</v>
      </c>
      <c r="S187" s="13"/>
      <c r="T187" s="13"/>
      <c r="U187" s="13"/>
      <c r="V187" s="13"/>
      <c r="W187" s="13"/>
      <c r="X187" s="13"/>
      <c r="Y187" s="13"/>
      <c r="Z187" s="13"/>
      <c r="AA187" s="13"/>
      <c r="AB187" s="13"/>
    </row>
    <row r="188">
      <c r="A188" s="22" t="s">
        <v>889</v>
      </c>
      <c r="B188" s="10" t="s">
        <v>14</v>
      </c>
      <c r="C188" s="11">
        <v>1.0</v>
      </c>
      <c r="D188" s="11" t="s">
        <v>350</v>
      </c>
      <c r="E188" s="10" t="s">
        <v>890</v>
      </c>
      <c r="F188" s="10" t="str">
        <f>IFERROR(__xludf.DUMMYFUNCTION("IF(REGEXMATCH($E188,""Wizard""),""Wizard "","""")&amp;IF(REGEXMATCH($E188,""Construct""),""Construct "","""")&amp;IF(REGEXMATCH($E188,""Insect""),""Insect "","""")&amp;IF(REGEXMATCH($E188,""Dragon""),""Dragon "","""")&amp;IF(REGEXMATCH($E188,""Human""),""Human "","""")&amp;I"&amp;"F(REGEXMATCH($E188,""Hunter""),""Hunter "","""")&amp;IF(REGEXMATCH($E188,""Animal""),""Animal "","""")&amp;IF(REGEXMATCH($E188,""Undead""),""Undead "","""")&amp;IF(REGEXMATCH($E188,""Plant""),""Plant "","""")&amp;IF(REGEXMATCH($E188,""Dinosaur""),""Dinosaur "","""")&amp;IF(R"&amp;"EGEXMATCH($E188,""Warrior""),""Warrior "","""")&amp;IF(REGEXMATCH($E188,""Spirit""),""Spirit "","""")&amp;IF(REGEXMATCH($E188,""Angel""),""Angel "","""")&amp;IF(REGEXMATCH($E188,""Demon""),""Demon "","""")&amp;IF(REGEXMATCH($E188,""Divine""),""Divine "","""")&amp;IF(REGEXMAT"&amp;"CH($E188,""Elemental""),""Elemental "","""")&amp;IF(REGEXMATCH($E188,""Nature""),""Nature "","""")&amp;IF(REGEXMATCH($E188,""Mortal""),""Mortal "","""")&amp;IF(REGEXMATCH($E188,""Void""),""Void "","""")&amp;IF(REGEXMATCH($E188,""Unearth|Ambush|Ritual|unearth|ambush|ritua"&amp;"l""),""Unearth "","""")&amp;IF(REGEXMATCH($E188,""Unleash|Crystallize|all realms|Crystalborn|crystallize""),""Ramp "","""")&amp;IF(REGEXMATCH($E188,""Demon""),""Demon "","""")&amp;IF(REGEXMATCH($E188,""bury|buries|Bury|Buries|Cleanse|puts a Unit|trail|Trail""),""Cont"&amp;"rol "","""")&amp;IF(REGEXMATCH($E188,""Bounce|Return|Copy|bounce|return|copy""),""Copy "","""")&amp;IF(REGEXMATCH($E188,""conquer|Conquer|leading in lanes|lead by""),""Aggro "","""")&amp;IF(REGEXMATCH($E188,""Ascend|ascend""),""Ascend "","""")&amp;IF(REGEXMATCH($E188,""B"&amp;"ury .+ Crystal|.*crystal.*bury""),""Empty-Crystal"","""")&amp;IF(REGEXMATCH($E188,""Move|move""),""Move"","""")"),"Move")</f>
        <v>Move</v>
      </c>
      <c r="G188" s="12" t="s">
        <v>891</v>
      </c>
      <c r="H188" s="11">
        <v>2.0</v>
      </c>
      <c r="I188" s="11" t="s">
        <v>767</v>
      </c>
      <c r="J188" s="11" t="s">
        <v>42</v>
      </c>
      <c r="L188" s="13" t="str">
        <f>IFERROR(__xludf.DUMMYFUNCTION("IF(REGEXMATCH($B188,L$1),$D188,"""")"),"")</f>
        <v/>
      </c>
      <c r="M188" s="13" t="str">
        <f>IFERROR(__xludf.DUMMYFUNCTION("IF(REGEXMATCH($B188,M$1),$D188,"""")"),"")</f>
        <v/>
      </c>
      <c r="N188" s="13" t="str">
        <f>IFERROR(__xludf.DUMMYFUNCTION("IF(REGEXMATCH($B188,N$1),$D188,"""")"),"")</f>
        <v/>
      </c>
      <c r="O188" s="13" t="str">
        <f>IFERROR(__xludf.DUMMYFUNCTION("IF(REGEXMATCH($B188,O$1),$D188,"""")"),"Dragon")</f>
        <v>Dragon</v>
      </c>
      <c r="P188" s="13" t="str">
        <f>IFERROR(__xludf.DUMMYFUNCTION("IF(REGEXMATCH($B188,P$1),$D188,"""")"),"")</f>
        <v/>
      </c>
      <c r="Q188" s="13">
        <f>IFERROR(__xludf.DUMMYFUNCTION("IF($A188="""","""",LEN(REGEXREPLACE($I188,"",\s?"","""")))"),4.0)</f>
        <v>4</v>
      </c>
      <c r="S188" s="13"/>
      <c r="T188" s="13"/>
      <c r="U188" s="13"/>
      <c r="V188" s="13"/>
      <c r="W188" s="13"/>
      <c r="X188" s="13"/>
      <c r="Y188" s="13"/>
      <c r="Z188" s="13"/>
      <c r="AA188" s="13"/>
      <c r="AB188" s="13"/>
    </row>
    <row r="189">
      <c r="A189" s="10" t="s">
        <v>892</v>
      </c>
      <c r="B189" s="10" t="s">
        <v>14</v>
      </c>
      <c r="C189" s="11">
        <v>1.0</v>
      </c>
      <c r="D189" s="11" t="s">
        <v>44</v>
      </c>
      <c r="E189" s="10" t="s">
        <v>893</v>
      </c>
      <c r="F189" s="10" t="str">
        <f>IFERROR(__xludf.DUMMYFUNCTION("IF(REGEXMATCH($E189,""Wizard""),""Wizard "","""")&amp;IF(REGEXMATCH($E189,""Construct""),""Construct "","""")&amp;IF(REGEXMATCH($E189,""Insect""),""Insect "","""")&amp;IF(REGEXMATCH($E189,""Dragon""),""Dragon "","""")&amp;IF(REGEXMATCH($E189,""Human""),""Human "","""")&amp;I"&amp;"F(REGEXMATCH($E189,""Hunter""),""Hunter "","""")&amp;IF(REGEXMATCH($E189,""Animal""),""Animal "","""")&amp;IF(REGEXMATCH($E189,""Undead""),""Undead "","""")&amp;IF(REGEXMATCH($E189,""Plant""),""Plant "","""")&amp;IF(REGEXMATCH($E189,""Dinosaur""),""Dinosaur "","""")&amp;IF(R"&amp;"EGEXMATCH($E189,""Warrior""),""Warrior "","""")&amp;IF(REGEXMATCH($E189,""Spirit""),""Spirit "","""")&amp;IF(REGEXMATCH($E189,""Angel""),""Angel "","""")&amp;IF(REGEXMATCH($E189,""Demon""),""Demon "","""")&amp;IF(REGEXMATCH($E189,""Divine""),""Divine "","""")&amp;IF(REGEXMAT"&amp;"CH($E189,""Elemental""),""Elemental "","""")&amp;IF(REGEXMATCH($E189,""Nature""),""Nature "","""")&amp;IF(REGEXMATCH($E189,""Mortal""),""Mortal "","""")&amp;IF(REGEXMATCH($E189,""Void""),""Void "","""")&amp;IF(REGEXMATCH($E189,""Unearth|Ambush|Ritual|unearth|ambush|ritua"&amp;"l""),""Unearth "","""")&amp;IF(REGEXMATCH($E189,""Unleash|Crystallize|all realms|Crystalborn|crystallize""),""Ramp "","""")&amp;IF(REGEXMATCH($E189,""Demon""),""Demon "","""")&amp;IF(REGEXMATCH($E189,""bury|buries|Bury|Buries|Cleanse|puts a Unit|trail|Trail""),""Cont"&amp;"rol "","""")&amp;IF(REGEXMATCH($E189,""Bounce|Return|Copy|bounce|return|copy""),""Copy "","""")&amp;IF(REGEXMATCH($E189,""conquer|Conquer|leading in lanes|lead by""),""Aggro "","""")&amp;IF(REGEXMATCH($E189,""Ascend|ascend""),""Ascend "","""")&amp;IF(REGEXMATCH($E189,""B"&amp;"ury .+ Crystal|.*crystal.*bury""),""Empty-Crystal"","""")&amp;IF(REGEXMATCH($E189,""Move|move""),""Move"","""")"),"Human Ramp ")</f>
        <v>Human Ramp </v>
      </c>
      <c r="G189" s="12" t="s">
        <v>894</v>
      </c>
      <c r="H189" s="11">
        <v>1.0</v>
      </c>
      <c r="I189" s="11" t="s">
        <v>752</v>
      </c>
      <c r="J189" s="11" t="s">
        <v>50</v>
      </c>
      <c r="L189" s="13" t="str">
        <f>IFERROR(__xludf.DUMMYFUNCTION("IF(REGEXMATCH($B189,L$1),$D189,"""")"),"")</f>
        <v/>
      </c>
      <c r="M189" s="13" t="str">
        <f>IFERROR(__xludf.DUMMYFUNCTION("IF(REGEXMATCH($B189,M$1),$D189,"""")"),"")</f>
        <v/>
      </c>
      <c r="N189" s="13" t="str">
        <f>IFERROR(__xludf.DUMMYFUNCTION("IF(REGEXMATCH($B189,N$1),$D189,"""")"),"")</f>
        <v/>
      </c>
      <c r="O189" s="13" t="str">
        <f>IFERROR(__xludf.DUMMYFUNCTION("IF(REGEXMATCH($B189,O$1),$D189,"""")"),"Human")</f>
        <v>Human</v>
      </c>
      <c r="P189" s="13" t="str">
        <f>IFERROR(__xludf.DUMMYFUNCTION("IF(REGEXMATCH($B189,P$1),$D189,"""")"),"")</f>
        <v/>
      </c>
      <c r="Q189" s="13">
        <f>IFERROR(__xludf.DUMMYFUNCTION("IF($A189="""","""",LEN(REGEXREPLACE($I189,"",\s?"","""")))"),2.0)</f>
        <v>2</v>
      </c>
      <c r="S189" s="13"/>
      <c r="T189" s="13"/>
      <c r="U189" s="13"/>
      <c r="V189" s="13"/>
      <c r="W189" s="13"/>
      <c r="X189" s="13"/>
      <c r="Y189" s="13"/>
      <c r="Z189" s="13"/>
      <c r="AA189" s="13"/>
      <c r="AB189" s="13"/>
    </row>
    <row r="190" hidden="1">
      <c r="A190" s="10" t="s">
        <v>895</v>
      </c>
      <c r="B190" s="10" t="s">
        <v>869</v>
      </c>
      <c r="C190" s="11">
        <v>2.0</v>
      </c>
      <c r="D190" s="11" t="s">
        <v>317</v>
      </c>
      <c r="E190" s="19" t="s">
        <v>896</v>
      </c>
      <c r="F190" s="10" t="str">
        <f>IFERROR(__xludf.DUMMYFUNCTION("IF(REGEXMATCH($E190,""Wizard""),""Wizard "","""")&amp;IF(REGEXMATCH($E190,""Construct""),""Construct "","""")&amp;IF(REGEXMATCH($E190,""Insect""),""Insect "","""")&amp;IF(REGEXMATCH($E190,""Dragon""),""Dragon "","""")&amp;IF(REGEXMATCH($E190,""Human""),""Human "","""")&amp;I"&amp;"F(REGEXMATCH($E190,""Hunter""),""Hunter "","""")&amp;IF(REGEXMATCH($E190,""Animal""),""Animal "","""")&amp;IF(REGEXMATCH($E190,""Undead""),""Undead "","""")&amp;IF(REGEXMATCH($E190,""Plant""),""Plant "","""")&amp;IF(REGEXMATCH($E190,""Dinosaur""),""Dinosaur "","""")&amp;IF(R"&amp;"EGEXMATCH($E190,""Warrior""),""Warrior "","""")&amp;IF(REGEXMATCH($E190,""Spirit""),""Spirit "","""")&amp;IF(REGEXMATCH($E190,""Angel""),""Angel "","""")&amp;IF(REGEXMATCH($E190,""Demon""),""Demon "","""")&amp;IF(REGEXMATCH($E190,""Divine""),""Divine "","""")&amp;IF(REGEXMAT"&amp;"CH($E190,""Elemental""),""Elemental "","""")&amp;IF(REGEXMATCH($E190,""Nature""),""Nature "","""")&amp;IF(REGEXMATCH($E190,""Mortal""),""Mortal "","""")&amp;IF(REGEXMATCH($E190,""Void""),""Void "","""")&amp;IF(REGEXMATCH($E190,""Unearth|Ambush|Ritual|unearth|ambush|ritua"&amp;"l""),""Unearth "","""")&amp;IF(REGEXMATCH($E190,""Unleash|Crystallize|all realms|Crystalborn|crystallize""),""Ramp "","""")&amp;IF(REGEXMATCH($E190,""Demon""),""Demon "","""")&amp;IF(REGEXMATCH($E190,""bury|buries|Bury|Buries|Cleanse|puts a Unit|trail|Trail""),""Cont"&amp;"rol "","""")&amp;IF(REGEXMATCH($E190,""Bounce|Return|Copy|bounce|return|copy""),""Copy "","""")&amp;IF(REGEXMATCH($E190,""conquer|Conquer|leading in lanes|lead by""),""Aggro "","""")&amp;IF(REGEXMATCH($E190,""Ascend|ascend""),""Ascend "","""")&amp;IF(REGEXMATCH($E190,""B"&amp;"ury .+ Crystal|.*crystal.*bury""),""Empty-Crystal"","""")&amp;IF(REGEXMATCH($E190,""Move|move""),""Move"","""")"),"Ramp Copy ")</f>
        <v>Ramp Copy </v>
      </c>
      <c r="G190" s="20" t="s">
        <v>897</v>
      </c>
      <c r="H190" s="11">
        <v>3.0</v>
      </c>
      <c r="I190" s="11" t="s">
        <v>888</v>
      </c>
      <c r="J190" s="11" t="s">
        <v>50</v>
      </c>
      <c r="L190" s="13" t="str">
        <f>IFERROR(__xludf.DUMMYFUNCTION("IF(REGEXMATCH($B190,L$1),$D190,"""")"),"")</f>
        <v/>
      </c>
      <c r="M190" s="13" t="str">
        <f>IFERROR(__xludf.DUMMYFUNCTION("IF(REGEXMATCH($B190,M$1),$D190,"""")"),"Spirit")</f>
        <v>Spirit</v>
      </c>
      <c r="N190" s="13" t="str">
        <f>IFERROR(__xludf.DUMMYFUNCTION("IF(REGEXMATCH($B190,N$1),$D190,"""")"),"")</f>
        <v/>
      </c>
      <c r="O190" s="13" t="str">
        <f>IFERROR(__xludf.DUMMYFUNCTION("IF(REGEXMATCH($B190,O$1),$D190,"""")"),"Spirit")</f>
        <v>Spirit</v>
      </c>
      <c r="P190" s="13" t="str">
        <f>IFERROR(__xludf.DUMMYFUNCTION("IF(REGEXMATCH($B190,P$1),$D190,"""")"),"")</f>
        <v/>
      </c>
      <c r="Q190" s="13">
        <f>IFERROR(__xludf.DUMMYFUNCTION("IF($A190="""","""",LEN(REGEXREPLACE($I190,"",\s?"","""")))"),4.0)</f>
        <v>4</v>
      </c>
      <c r="S190" s="13"/>
      <c r="T190" s="13"/>
      <c r="U190" s="13"/>
      <c r="V190" s="13"/>
      <c r="W190" s="13"/>
      <c r="X190" s="13"/>
      <c r="Y190" s="13"/>
      <c r="Z190" s="13"/>
      <c r="AA190" s="13"/>
      <c r="AB190" s="13"/>
    </row>
    <row r="191" hidden="1">
      <c r="A191" s="19" t="s">
        <v>898</v>
      </c>
      <c r="B191" s="19" t="s">
        <v>869</v>
      </c>
      <c r="C191" s="18">
        <v>2.0</v>
      </c>
      <c r="D191" s="18" t="s">
        <v>154</v>
      </c>
      <c r="E191" s="19" t="s">
        <v>899</v>
      </c>
      <c r="F191" s="10" t="str">
        <f>IFERROR(__xludf.DUMMYFUNCTION("IF(REGEXMATCH($E191,""Wizard""),""Wizard "","""")&amp;IF(REGEXMATCH($E191,""Construct""),""Construct "","""")&amp;IF(REGEXMATCH($E191,""Insect""),""Insect "","""")&amp;IF(REGEXMATCH($E191,""Dragon""),""Dragon "","""")&amp;IF(REGEXMATCH($E191,""Human""),""Human "","""")&amp;I"&amp;"F(REGEXMATCH($E191,""Hunter""),""Hunter "","""")&amp;IF(REGEXMATCH($E191,""Animal""),""Animal "","""")&amp;IF(REGEXMATCH($E191,""Undead""),""Undead "","""")&amp;IF(REGEXMATCH($E191,""Plant""),""Plant "","""")&amp;IF(REGEXMATCH($E191,""Dinosaur""),""Dinosaur "","""")&amp;IF(R"&amp;"EGEXMATCH($E191,""Warrior""),""Warrior "","""")&amp;IF(REGEXMATCH($E191,""Spirit""),""Spirit "","""")&amp;IF(REGEXMATCH($E191,""Angel""),""Angel "","""")&amp;IF(REGEXMATCH($E191,""Demon""),""Demon "","""")&amp;IF(REGEXMATCH($E191,""Divine""),""Divine "","""")&amp;IF(REGEXMAT"&amp;"CH($E191,""Elemental""),""Elemental "","""")&amp;IF(REGEXMATCH($E191,""Nature""),""Nature "","""")&amp;IF(REGEXMATCH($E191,""Mortal""),""Mortal "","""")&amp;IF(REGEXMATCH($E191,""Void""),""Void "","""")&amp;IF(REGEXMATCH($E191,""Unearth|Ambush|Ritual|unearth|ambush|ritua"&amp;"l""),""Unearth "","""")&amp;IF(REGEXMATCH($E191,""Unleash|Crystallize|all realms|Crystalborn|crystallize""),""Ramp "","""")&amp;IF(REGEXMATCH($E191,""Demon""),""Demon "","""")&amp;IF(REGEXMATCH($E191,""bury|buries|Bury|Buries|Cleanse|puts a Unit|trail|Trail""),""Cont"&amp;"rol "","""")&amp;IF(REGEXMATCH($E191,""Bounce|Return|Copy|bounce|return|copy""),""Copy "","""")&amp;IF(REGEXMATCH($E191,""conquer|Conquer|leading in lanes|lead by""),""Aggro "","""")&amp;IF(REGEXMATCH($E191,""Ascend|ascend""),""Ascend "","""")&amp;IF(REGEXMATCH($E191,""B"&amp;"ury .+ Crystal|.*crystal.*bury""),""Empty-Crystal"","""")&amp;IF(REGEXMATCH($E191,""Move|move""),""Move"","""")"),"Ramp ")</f>
        <v>Ramp </v>
      </c>
      <c r="G191" s="20" t="s">
        <v>241</v>
      </c>
      <c r="H191" s="18">
        <v>2.0</v>
      </c>
      <c r="I191" s="18" t="s">
        <v>900</v>
      </c>
      <c r="J191" s="18" t="s">
        <v>50</v>
      </c>
      <c r="L191" s="13" t="str">
        <f>IFERROR(__xludf.DUMMYFUNCTION("IF(REGEXMATCH($B191,L$1),$D191,"""")"),"")</f>
        <v/>
      </c>
      <c r="M191" s="13" t="str">
        <f>IFERROR(__xludf.DUMMYFUNCTION("IF(REGEXMATCH($B191,M$1),$D191,"""")"),"Animal Spirit")</f>
        <v>Animal Spirit</v>
      </c>
      <c r="N191" s="13" t="str">
        <f>IFERROR(__xludf.DUMMYFUNCTION("IF(REGEXMATCH($B191,N$1),$D191,"""")"),"")</f>
        <v/>
      </c>
      <c r="O191" s="13" t="str">
        <f>IFERROR(__xludf.DUMMYFUNCTION("IF(REGEXMATCH($B191,O$1),$D191,"""")"),"Animal Spirit")</f>
        <v>Animal Spirit</v>
      </c>
      <c r="P191" s="13" t="str">
        <f>IFERROR(__xludf.DUMMYFUNCTION("IF(REGEXMATCH($B191,P$1),$D191,"""")"),"")</f>
        <v/>
      </c>
      <c r="Q191" s="13">
        <f>IFERROR(__xludf.DUMMYFUNCTION("IF($A191="""","""",LEN(REGEXREPLACE($I191,"",\s?"","""")))"),3.0)</f>
        <v>3</v>
      </c>
      <c r="S191" s="13"/>
      <c r="T191" s="13"/>
      <c r="U191" s="13"/>
      <c r="V191" s="13"/>
      <c r="W191" s="13"/>
      <c r="X191" s="13"/>
      <c r="Y191" s="13"/>
      <c r="Z191" s="13"/>
      <c r="AA191" s="13"/>
      <c r="AB191" s="13"/>
    </row>
    <row r="192" hidden="1">
      <c r="A192" s="19" t="s">
        <v>901</v>
      </c>
      <c r="B192" s="19" t="s">
        <v>869</v>
      </c>
      <c r="C192" s="18">
        <v>2.0</v>
      </c>
      <c r="D192" s="18" t="s">
        <v>902</v>
      </c>
      <c r="E192" s="19" t="s">
        <v>903</v>
      </c>
      <c r="F192" s="10" t="str">
        <f>IFERROR(__xludf.DUMMYFUNCTION("IF(REGEXMATCH($E192,""Wizard""),""Wizard "","""")&amp;IF(REGEXMATCH($E192,""Construct""),""Construct "","""")&amp;IF(REGEXMATCH($E192,""Insect""),""Insect "","""")&amp;IF(REGEXMATCH($E192,""Dragon""),""Dragon "","""")&amp;IF(REGEXMATCH($E192,""Human""),""Human "","""")&amp;I"&amp;"F(REGEXMATCH($E192,""Hunter""),""Hunter "","""")&amp;IF(REGEXMATCH($E192,""Animal""),""Animal "","""")&amp;IF(REGEXMATCH($E192,""Undead""),""Undead "","""")&amp;IF(REGEXMATCH($E192,""Plant""),""Plant "","""")&amp;IF(REGEXMATCH($E192,""Dinosaur""),""Dinosaur "","""")&amp;IF(R"&amp;"EGEXMATCH($E192,""Warrior""),""Warrior "","""")&amp;IF(REGEXMATCH($E192,""Spirit""),""Spirit "","""")&amp;IF(REGEXMATCH($E192,""Angel""),""Angel "","""")&amp;IF(REGEXMATCH($E192,""Demon""),""Demon "","""")&amp;IF(REGEXMATCH($E192,""Divine""),""Divine "","""")&amp;IF(REGEXMAT"&amp;"CH($E192,""Elemental""),""Elemental "","""")&amp;IF(REGEXMATCH($E192,""Nature""),""Nature "","""")&amp;IF(REGEXMATCH($E192,""Mortal""),""Mortal "","""")&amp;IF(REGEXMATCH($E192,""Void""),""Void "","""")&amp;IF(REGEXMATCH($E192,""Unearth|Ambush|Ritual|unearth|ambush|ritua"&amp;"l""),""Unearth "","""")&amp;IF(REGEXMATCH($E192,""Unleash|Crystallize|all realms|Crystalborn|crystallize""),""Ramp "","""")&amp;IF(REGEXMATCH($E192,""Demon""),""Demon "","""")&amp;IF(REGEXMATCH($E192,""bury|buries|Bury|Buries|Cleanse|puts a Unit|trail|Trail""),""Cont"&amp;"rol "","""")&amp;IF(REGEXMATCH($E192,""Bounce|Return|Copy|bounce|return|copy""),""Copy "","""")&amp;IF(REGEXMATCH($E192,""conquer|Conquer|leading in lanes|lead by""),""Aggro "","""")&amp;IF(REGEXMATCH($E192,""Ascend|ascend""),""Ascend "","""")&amp;IF(REGEXMATCH($E192,""B"&amp;"ury .+ Crystal|.*crystal.*bury""),""Empty-Crystal"","""")&amp;IF(REGEXMATCH($E192,""Move|move""),""Move"","""")"),"")</f>
        <v/>
      </c>
      <c r="G192" s="56"/>
      <c r="H192" s="18">
        <v>3.0</v>
      </c>
      <c r="I192" s="18" t="s">
        <v>888</v>
      </c>
      <c r="J192" s="18" t="s">
        <v>50</v>
      </c>
      <c r="L192" s="13" t="str">
        <f>IFERROR(__xludf.DUMMYFUNCTION("IF(REGEXMATCH($B192,L$1),$D192,"""")"),"")</f>
        <v/>
      </c>
      <c r="M192" s="13" t="str">
        <f>IFERROR(__xludf.DUMMYFUNCTION("IF(REGEXMATCH($B192,M$1),$D192,"""")"),"Plant")</f>
        <v>Plant</v>
      </c>
      <c r="N192" s="13" t="str">
        <f>IFERROR(__xludf.DUMMYFUNCTION("IF(REGEXMATCH($B192,N$1),$D192,"""")"),"")</f>
        <v/>
      </c>
      <c r="O192" s="13" t="str">
        <f>IFERROR(__xludf.DUMMYFUNCTION("IF(REGEXMATCH($B192,O$1),$D192,"""")"),"Plant")</f>
        <v>Plant</v>
      </c>
      <c r="P192" s="13" t="str">
        <f>IFERROR(__xludf.DUMMYFUNCTION("IF(REGEXMATCH($B192,P$1),$D192,"""")"),"")</f>
        <v/>
      </c>
      <c r="Q192" s="13">
        <f>IFERROR(__xludf.DUMMYFUNCTION("IF($A192="""","""",LEN(REGEXREPLACE($I192,"",\s?"","""")))"),4.0)</f>
        <v>4</v>
      </c>
      <c r="S192" s="13"/>
      <c r="T192" s="13"/>
      <c r="U192" s="13"/>
      <c r="V192" s="13"/>
      <c r="W192" s="13"/>
      <c r="X192" s="13"/>
      <c r="Y192" s="13"/>
      <c r="Z192" s="13"/>
      <c r="AA192" s="13"/>
      <c r="AB192" s="13"/>
    </row>
    <row r="193">
      <c r="A193" s="19" t="s">
        <v>904</v>
      </c>
      <c r="B193" s="10" t="s">
        <v>14</v>
      </c>
      <c r="C193" s="11">
        <v>1.0</v>
      </c>
      <c r="D193" s="11" t="s">
        <v>44</v>
      </c>
      <c r="E193" s="10" t="s">
        <v>253</v>
      </c>
      <c r="F193" s="10" t="str">
        <f>IFERROR(__xludf.DUMMYFUNCTION("IF(REGEXMATCH($E193,""Wizard""),""Wizard "","""")&amp;IF(REGEXMATCH($E193,""Construct""),""Construct "","""")&amp;IF(REGEXMATCH($E193,""Insect""),""Insect "","""")&amp;IF(REGEXMATCH($E193,""Dragon""),""Dragon "","""")&amp;IF(REGEXMATCH($E193,""Human""),""Human "","""")&amp;I"&amp;"F(REGEXMATCH($E193,""Hunter""),""Hunter "","""")&amp;IF(REGEXMATCH($E193,""Animal""),""Animal "","""")&amp;IF(REGEXMATCH($E193,""Undead""),""Undead "","""")&amp;IF(REGEXMATCH($E193,""Plant""),""Plant "","""")&amp;IF(REGEXMATCH($E193,""Dinosaur""),""Dinosaur "","""")&amp;IF(R"&amp;"EGEXMATCH($E193,""Warrior""),""Warrior "","""")&amp;IF(REGEXMATCH($E193,""Spirit""),""Spirit "","""")&amp;IF(REGEXMATCH($E193,""Angel""),""Angel "","""")&amp;IF(REGEXMATCH($E193,""Demon""),""Demon "","""")&amp;IF(REGEXMATCH($E193,""Divine""),""Divine "","""")&amp;IF(REGEXMAT"&amp;"CH($E193,""Elemental""),""Elemental "","""")&amp;IF(REGEXMATCH($E193,""Nature""),""Nature "","""")&amp;IF(REGEXMATCH($E193,""Mortal""),""Mortal "","""")&amp;IF(REGEXMATCH($E193,""Void""),""Void "","""")&amp;IF(REGEXMATCH($E193,""Unearth|Ambush|Ritual|unearth|ambush|ritua"&amp;"l""),""Unearth "","""")&amp;IF(REGEXMATCH($E193,""Unleash|Crystallize|all realms|Crystalborn|crystallize""),""Ramp "","""")&amp;IF(REGEXMATCH($E193,""Demon""),""Demon "","""")&amp;IF(REGEXMATCH($E193,""bury|buries|Bury|Buries|Cleanse|puts a Unit|trail|Trail""),""Cont"&amp;"rol "","""")&amp;IF(REGEXMATCH($E193,""Bounce|Return|Copy|bounce|return|copy""),""Copy "","""")&amp;IF(REGEXMATCH($E193,""conquer|Conquer|leading in lanes|lead by""),""Aggro "","""")&amp;IF(REGEXMATCH($E193,""Ascend|ascend""),""Ascend "","""")&amp;IF(REGEXMATCH($E193,""B"&amp;"ury .+ Crystal|.*crystal.*bury""),""Empty-Crystal"","""")&amp;IF(REGEXMATCH($E193,""Move|move""),""Move"","""")"),"")</f>
        <v/>
      </c>
      <c r="G193" s="12" t="s">
        <v>905</v>
      </c>
      <c r="H193" s="11">
        <v>1.0</v>
      </c>
      <c r="I193" s="11" t="s">
        <v>790</v>
      </c>
      <c r="J193" s="11" t="s">
        <v>42</v>
      </c>
      <c r="L193" s="13" t="str">
        <f>IFERROR(__xludf.DUMMYFUNCTION("IF(REGEXMATCH($B193,L$1),$D193,"""")"),"")</f>
        <v/>
      </c>
      <c r="M193" s="13" t="str">
        <f>IFERROR(__xludf.DUMMYFUNCTION("IF(REGEXMATCH($B193,M$1),$D193,"""")"),"")</f>
        <v/>
      </c>
      <c r="N193" s="13" t="str">
        <f>IFERROR(__xludf.DUMMYFUNCTION("IF(REGEXMATCH($B193,N$1),$D193,"""")"),"")</f>
        <v/>
      </c>
      <c r="O193" s="13" t="str">
        <f>IFERROR(__xludf.DUMMYFUNCTION("IF(REGEXMATCH($B193,O$1),$D193,"""")"),"Human")</f>
        <v>Human</v>
      </c>
      <c r="P193" s="13" t="str">
        <f>IFERROR(__xludf.DUMMYFUNCTION("IF(REGEXMATCH($B193,P$1),$D193,"""")"),"")</f>
        <v/>
      </c>
      <c r="Q193" s="13">
        <f>IFERROR(__xludf.DUMMYFUNCTION("IF($A193="""","""",LEN(REGEXREPLACE($I193,"",\s?"","""")))"),1.0)</f>
        <v>1</v>
      </c>
      <c r="S193" s="13"/>
      <c r="T193" s="13"/>
      <c r="U193" s="13"/>
      <c r="V193" s="13"/>
      <c r="W193" s="13"/>
      <c r="X193" s="13"/>
      <c r="Y193" s="13"/>
      <c r="Z193" s="13"/>
      <c r="AA193" s="13"/>
      <c r="AB193" s="13"/>
    </row>
    <row r="194">
      <c r="A194" s="29" t="s">
        <v>906</v>
      </c>
      <c r="B194" s="10" t="s">
        <v>14</v>
      </c>
      <c r="C194" s="11">
        <v>1.0</v>
      </c>
      <c r="D194" s="11" t="s">
        <v>44</v>
      </c>
      <c r="E194" s="10" t="s">
        <v>907</v>
      </c>
      <c r="F194" s="10" t="str">
        <f>IFERROR(__xludf.DUMMYFUNCTION("IF(REGEXMATCH($E194,""Wizard""),""Wizard "","""")&amp;IF(REGEXMATCH($E194,""Construct""),""Construct "","""")&amp;IF(REGEXMATCH($E194,""Insect""),""Insect "","""")&amp;IF(REGEXMATCH($E194,""Dragon""),""Dragon "","""")&amp;IF(REGEXMATCH($E194,""Human""),""Human "","""")&amp;I"&amp;"F(REGEXMATCH($E194,""Hunter""),""Hunter "","""")&amp;IF(REGEXMATCH($E194,""Animal""),""Animal "","""")&amp;IF(REGEXMATCH($E194,""Undead""),""Undead "","""")&amp;IF(REGEXMATCH($E194,""Plant""),""Plant "","""")&amp;IF(REGEXMATCH($E194,""Dinosaur""),""Dinosaur "","""")&amp;IF(R"&amp;"EGEXMATCH($E194,""Warrior""),""Warrior "","""")&amp;IF(REGEXMATCH($E194,""Spirit""),""Spirit "","""")&amp;IF(REGEXMATCH($E194,""Angel""),""Angel "","""")&amp;IF(REGEXMATCH($E194,""Demon""),""Demon "","""")&amp;IF(REGEXMATCH($E194,""Divine""),""Divine "","""")&amp;IF(REGEXMAT"&amp;"CH($E194,""Elemental""),""Elemental "","""")&amp;IF(REGEXMATCH($E194,""Nature""),""Nature "","""")&amp;IF(REGEXMATCH($E194,""Mortal""),""Mortal "","""")&amp;IF(REGEXMATCH($E194,""Void""),""Void "","""")&amp;IF(REGEXMATCH($E194,""Unearth|Ambush|Ritual|unearth|ambush|ritua"&amp;"l""),""Unearth "","""")&amp;IF(REGEXMATCH($E194,""Unleash|Crystallize|all realms|Crystalborn|crystallize""),""Ramp "","""")&amp;IF(REGEXMATCH($E194,""Demon""),""Demon "","""")&amp;IF(REGEXMATCH($E194,""bury|buries|Bury|Buries|Cleanse|puts a Unit|trail|Trail""),""Cont"&amp;"rol "","""")&amp;IF(REGEXMATCH($E194,""Bounce|Return|Copy|bounce|return|copy""),""Copy "","""")&amp;IF(REGEXMATCH($E194,""conquer|Conquer|leading in lanes|lead by""),""Aggro "","""")&amp;IF(REGEXMATCH($E194,""Ascend|ascend""),""Ascend "","""")&amp;IF(REGEXMATCH($E194,""B"&amp;"ury .+ Crystal|.*crystal.*bury""),""Empty-Crystal"","""")&amp;IF(REGEXMATCH($E194,""Move|move""),""Move"","""")"),"Control ")</f>
        <v>Control </v>
      </c>
      <c r="G194" s="12" t="s">
        <v>908</v>
      </c>
      <c r="H194" s="11">
        <v>4.0</v>
      </c>
      <c r="I194" s="11" t="s">
        <v>767</v>
      </c>
      <c r="J194" s="21" t="s">
        <v>33</v>
      </c>
      <c r="L194" s="13" t="str">
        <f>IFERROR(__xludf.DUMMYFUNCTION("IF(REGEXMATCH($B194,L$1),$D194,"""")"),"")</f>
        <v/>
      </c>
      <c r="M194" s="13" t="str">
        <f>IFERROR(__xludf.DUMMYFUNCTION("IF(REGEXMATCH($B194,M$1),$D194,"""")"),"")</f>
        <v/>
      </c>
      <c r="N194" s="13" t="str">
        <f>IFERROR(__xludf.DUMMYFUNCTION("IF(REGEXMATCH($B194,N$1),$D194,"""")"),"")</f>
        <v/>
      </c>
      <c r="O194" s="13" t="str">
        <f>IFERROR(__xludf.DUMMYFUNCTION("IF(REGEXMATCH($B194,O$1),$D194,"""")"),"Human")</f>
        <v>Human</v>
      </c>
      <c r="P194" s="13" t="str">
        <f>IFERROR(__xludf.DUMMYFUNCTION("IF(REGEXMATCH($B194,P$1),$D194,"""")"),"")</f>
        <v/>
      </c>
      <c r="Q194" s="13">
        <f>IFERROR(__xludf.DUMMYFUNCTION("IF($A194="""","""",LEN(REGEXREPLACE($I194,"",\s?"","""")))"),4.0)</f>
        <v>4</v>
      </c>
      <c r="S194" s="13"/>
      <c r="T194" s="13"/>
      <c r="U194" s="13"/>
      <c r="V194" s="13"/>
      <c r="W194" s="13"/>
      <c r="X194" s="13"/>
      <c r="Y194" s="13"/>
      <c r="Z194" s="13"/>
      <c r="AA194" s="13"/>
      <c r="AB194" s="13"/>
    </row>
    <row r="195">
      <c r="A195" s="19" t="s">
        <v>909</v>
      </c>
      <c r="B195" s="10" t="s">
        <v>14</v>
      </c>
      <c r="C195" s="11">
        <v>1.0</v>
      </c>
      <c r="D195" s="11" t="s">
        <v>221</v>
      </c>
      <c r="E195" s="19" t="s">
        <v>910</v>
      </c>
      <c r="F195" s="10" t="str">
        <f>IFERROR(__xludf.DUMMYFUNCTION("IF(REGEXMATCH($E195,""Wizard""),""Wizard "","""")&amp;IF(REGEXMATCH($E195,""Construct""),""Construct "","""")&amp;IF(REGEXMATCH($E195,""Insect""),""Insect "","""")&amp;IF(REGEXMATCH($E195,""Dragon""),""Dragon "","""")&amp;IF(REGEXMATCH($E195,""Human""),""Human "","""")&amp;I"&amp;"F(REGEXMATCH($E195,""Hunter""),""Hunter "","""")&amp;IF(REGEXMATCH($E195,""Animal""),""Animal "","""")&amp;IF(REGEXMATCH($E195,""Undead""),""Undead "","""")&amp;IF(REGEXMATCH($E195,""Plant""),""Plant "","""")&amp;IF(REGEXMATCH($E195,""Dinosaur""),""Dinosaur "","""")&amp;IF(R"&amp;"EGEXMATCH($E195,""Warrior""),""Warrior "","""")&amp;IF(REGEXMATCH($E195,""Spirit""),""Spirit "","""")&amp;IF(REGEXMATCH($E195,""Angel""),""Angel "","""")&amp;IF(REGEXMATCH($E195,""Demon""),""Demon "","""")&amp;IF(REGEXMATCH($E195,""Divine""),""Divine "","""")&amp;IF(REGEXMAT"&amp;"CH($E195,""Elemental""),""Elemental "","""")&amp;IF(REGEXMATCH($E195,""Nature""),""Nature "","""")&amp;IF(REGEXMATCH($E195,""Mortal""),""Mortal "","""")&amp;IF(REGEXMATCH($E195,""Void""),""Void "","""")&amp;IF(REGEXMATCH($E195,""Unearth|Ambush|Ritual|unearth|ambush|ritua"&amp;"l""),""Unearth "","""")&amp;IF(REGEXMATCH($E195,""Unleash|Crystallize|all realms|Crystalborn|crystallize""),""Ramp "","""")&amp;IF(REGEXMATCH($E195,""Demon""),""Demon "","""")&amp;IF(REGEXMATCH($E195,""bury|buries|Bury|Buries|Cleanse|puts a Unit|trail|Trail""),""Cont"&amp;"rol "","""")&amp;IF(REGEXMATCH($E195,""Bounce|Return|Copy|bounce|return|copy""),""Copy "","""")&amp;IF(REGEXMATCH($E195,""conquer|Conquer|leading in lanes|lead by""),""Aggro "","""")&amp;IF(REGEXMATCH($E195,""Ascend|ascend""),""Ascend "","""")&amp;IF(REGEXMATCH($E195,""B"&amp;"ury .+ Crystal|.*crystal.*bury""),""Empty-Crystal"","""")&amp;IF(REGEXMATCH($E195,""Move|move""),""Move"","""")"),"Control ")</f>
        <v>Control </v>
      </c>
      <c r="G195" s="20" t="s">
        <v>911</v>
      </c>
      <c r="H195" s="11">
        <v>2.0</v>
      </c>
      <c r="I195" s="11" t="s">
        <v>380</v>
      </c>
      <c r="J195" s="11" t="s">
        <v>33</v>
      </c>
      <c r="L195" s="13" t="str">
        <f>IFERROR(__xludf.DUMMYFUNCTION("IF(REGEXMATCH($B195,L$1),$D195,"""")"),"")</f>
        <v/>
      </c>
      <c r="M195" s="13" t="str">
        <f>IFERROR(__xludf.DUMMYFUNCTION("IF(REGEXMATCH($B195,M$1),$D195,"""")"),"")</f>
        <v/>
      </c>
      <c r="N195" s="13" t="str">
        <f>IFERROR(__xludf.DUMMYFUNCTION("IF(REGEXMATCH($B195,N$1),$D195,"""")"),"")</f>
        <v/>
      </c>
      <c r="O195" s="13" t="str">
        <f>IFERROR(__xludf.DUMMYFUNCTION("IF(REGEXMATCH($B195,O$1),$D195,"""")"),"Human Hunter")</f>
        <v>Human Hunter</v>
      </c>
      <c r="P195" s="13" t="str">
        <f>IFERROR(__xludf.DUMMYFUNCTION("IF(REGEXMATCH($B195,P$1),$D195,"""")"),"")</f>
        <v/>
      </c>
      <c r="Q195" s="13">
        <f>IFERROR(__xludf.DUMMYFUNCTION("IF($A195="""","""",LEN(REGEXREPLACE($I195,"",\s?"","""")))"),5.0)</f>
        <v>5</v>
      </c>
      <c r="S195" s="13"/>
      <c r="T195" s="13"/>
      <c r="U195" s="13"/>
      <c r="V195" s="13"/>
      <c r="W195" s="13"/>
      <c r="X195" s="13"/>
      <c r="Y195" s="13"/>
      <c r="Z195" s="13"/>
      <c r="AA195" s="13"/>
      <c r="AB195" s="13"/>
    </row>
    <row r="196" hidden="1">
      <c r="A196" s="10" t="s">
        <v>912</v>
      </c>
      <c r="B196" s="10" t="s">
        <v>913</v>
      </c>
      <c r="C196" s="11">
        <v>2.0</v>
      </c>
      <c r="D196" s="11" t="s">
        <v>44</v>
      </c>
      <c r="E196" s="45" t="s">
        <v>914</v>
      </c>
      <c r="F196" s="10" t="str">
        <f>IFERROR(__xludf.DUMMYFUNCTION("IF(REGEXMATCH($E196,""Wizard""),""Wizard "","""")&amp;IF(REGEXMATCH($E196,""Construct""),""Construct "","""")&amp;IF(REGEXMATCH($E196,""Insect""),""Insect "","""")&amp;IF(REGEXMATCH($E196,""Dragon""),""Dragon "","""")&amp;IF(REGEXMATCH($E196,""Human""),""Human "","""")&amp;I"&amp;"F(REGEXMATCH($E196,""Hunter""),""Hunter "","""")&amp;IF(REGEXMATCH($E196,""Animal""),""Animal "","""")&amp;IF(REGEXMATCH($E196,""Undead""),""Undead "","""")&amp;IF(REGEXMATCH($E196,""Plant""),""Plant "","""")&amp;IF(REGEXMATCH($E196,""Dinosaur""),""Dinosaur "","""")&amp;IF(R"&amp;"EGEXMATCH($E196,""Warrior""),""Warrior "","""")&amp;IF(REGEXMATCH($E196,""Spirit""),""Spirit "","""")&amp;IF(REGEXMATCH($E196,""Angel""),""Angel "","""")&amp;IF(REGEXMATCH($E196,""Demon""),""Demon "","""")&amp;IF(REGEXMATCH($E196,""Divine""),""Divine "","""")&amp;IF(REGEXMAT"&amp;"CH($E196,""Elemental""),""Elemental "","""")&amp;IF(REGEXMATCH($E196,""Nature""),""Nature "","""")&amp;IF(REGEXMATCH($E196,""Mortal""),""Mortal "","""")&amp;IF(REGEXMATCH($E196,""Void""),""Void "","""")&amp;IF(REGEXMATCH($E196,""Unearth|Ambush|Ritual|unearth|ambush|ritua"&amp;"l""),""Unearth "","""")&amp;IF(REGEXMATCH($E196,""Unleash|Crystallize|all realms|Crystalborn|crystallize""),""Ramp "","""")&amp;IF(REGEXMATCH($E196,""Demon""),""Demon "","""")&amp;IF(REGEXMATCH($E196,""bury|buries|Bury|Buries|Cleanse|puts a Unit|trail|Trail""),""Cont"&amp;"rol "","""")&amp;IF(REGEXMATCH($E196,""Bounce|Return|Copy|bounce|return|copy""),""Copy "","""")&amp;IF(REGEXMATCH($E196,""conquer|Conquer|leading in lanes|lead by""),""Aggro "","""")&amp;IF(REGEXMATCH($E196,""Ascend|ascend""),""Ascend "","""")&amp;IF(REGEXMATCH($E196,""B"&amp;"ury .+ Crystal|.*crystal.*bury""),""Empty-Crystal"","""")&amp;IF(REGEXMATCH($E196,""Move|move""),""Move"","""")"),"Unearth Control ")</f>
        <v>Unearth Control </v>
      </c>
      <c r="G196" s="12" t="s">
        <v>525</v>
      </c>
      <c r="H196" s="11">
        <v>3.0</v>
      </c>
      <c r="I196" s="11" t="s">
        <v>915</v>
      </c>
      <c r="J196" s="11" t="s">
        <v>50</v>
      </c>
      <c r="L196" s="13" t="str">
        <f>IFERROR(__xludf.DUMMYFUNCTION("IF(REGEXMATCH($B196,L$1),$D196,"""")"),"")</f>
        <v/>
      </c>
      <c r="M196" s="13" t="str">
        <f>IFERROR(__xludf.DUMMYFUNCTION("IF(REGEXMATCH($B196,M$1),$D196,"""")"),"")</f>
        <v/>
      </c>
      <c r="N196" s="13" t="str">
        <f>IFERROR(__xludf.DUMMYFUNCTION("IF(REGEXMATCH($B196,N$1),$D196,"""")"),"Human")</f>
        <v>Human</v>
      </c>
      <c r="O196" s="13" t="str">
        <f>IFERROR(__xludf.DUMMYFUNCTION("IF(REGEXMATCH($B196,O$1),$D196,"""")"),"Human")</f>
        <v>Human</v>
      </c>
      <c r="P196" s="13" t="str">
        <f>IFERROR(__xludf.DUMMYFUNCTION("IF(REGEXMATCH($B196,P$1),$D196,"""")"),"")</f>
        <v/>
      </c>
      <c r="Q196" s="13">
        <f>IFERROR(__xludf.DUMMYFUNCTION("IF($A196="""","""",LEN(REGEXREPLACE($I196,"",\s?"","""")))"),4.0)</f>
        <v>4</v>
      </c>
      <c r="S196" s="13"/>
      <c r="T196" s="13"/>
      <c r="U196" s="13"/>
      <c r="V196" s="13"/>
      <c r="W196" s="13"/>
      <c r="X196" s="13"/>
      <c r="Y196" s="13"/>
      <c r="Z196" s="13"/>
      <c r="AA196" s="13"/>
      <c r="AB196" s="13"/>
    </row>
    <row r="197">
      <c r="A197" s="19" t="s">
        <v>916</v>
      </c>
      <c r="B197" s="10" t="s">
        <v>14</v>
      </c>
      <c r="C197" s="11">
        <v>1.0</v>
      </c>
      <c r="D197" s="11" t="s">
        <v>221</v>
      </c>
      <c r="E197" s="10" t="s">
        <v>917</v>
      </c>
      <c r="F197" s="10" t="str">
        <f>IFERROR(__xludf.DUMMYFUNCTION("IF(REGEXMATCH($E197,""Wizard""),""Wizard "","""")&amp;IF(REGEXMATCH($E197,""Construct""),""Construct "","""")&amp;IF(REGEXMATCH($E197,""Insect""),""Insect "","""")&amp;IF(REGEXMATCH($E197,""Dragon""),""Dragon "","""")&amp;IF(REGEXMATCH($E197,""Human""),""Human "","""")&amp;I"&amp;"F(REGEXMATCH($E197,""Hunter""),""Hunter "","""")&amp;IF(REGEXMATCH($E197,""Animal""),""Animal "","""")&amp;IF(REGEXMATCH($E197,""Undead""),""Undead "","""")&amp;IF(REGEXMATCH($E197,""Plant""),""Plant "","""")&amp;IF(REGEXMATCH($E197,""Dinosaur""),""Dinosaur "","""")&amp;IF(R"&amp;"EGEXMATCH($E197,""Warrior""),""Warrior "","""")&amp;IF(REGEXMATCH($E197,""Spirit""),""Spirit "","""")&amp;IF(REGEXMATCH($E197,""Angel""),""Angel "","""")&amp;IF(REGEXMATCH($E197,""Demon""),""Demon "","""")&amp;IF(REGEXMATCH($E197,""Divine""),""Divine "","""")&amp;IF(REGEXMAT"&amp;"CH($E197,""Elemental""),""Elemental "","""")&amp;IF(REGEXMATCH($E197,""Nature""),""Nature "","""")&amp;IF(REGEXMATCH($E197,""Mortal""),""Mortal "","""")&amp;IF(REGEXMATCH($E197,""Void""),""Void "","""")&amp;IF(REGEXMATCH($E197,""Unearth|Ambush|Ritual|unearth|ambush|ritua"&amp;"l""),""Unearth "","""")&amp;IF(REGEXMATCH($E197,""Unleash|Crystallize|all realms|Crystalborn|crystallize""),""Ramp "","""")&amp;IF(REGEXMATCH($E197,""Demon""),""Demon "","""")&amp;IF(REGEXMATCH($E197,""bury|buries|Bury|Buries|Cleanse|puts a Unit|trail|Trail""),""Cont"&amp;"rol "","""")&amp;IF(REGEXMATCH($E197,""Bounce|Return|Copy|bounce|return|copy""),""Copy "","""")&amp;IF(REGEXMATCH($E197,""conquer|Conquer|leading in lanes|lead by""),""Aggro "","""")&amp;IF(REGEXMATCH($E197,""Ascend|ascend""),""Ascend "","""")&amp;IF(REGEXMATCH($E197,""B"&amp;"ury .+ Crystal|.*crystal.*bury""),""Empty-Crystal"","""")&amp;IF(REGEXMATCH($E197,""Move|move""),""Move"","""")"),"")</f>
        <v/>
      </c>
      <c r="G197" s="12" t="s">
        <v>918</v>
      </c>
      <c r="H197" s="11">
        <v>4.0</v>
      </c>
      <c r="I197" s="11" t="s">
        <v>767</v>
      </c>
      <c r="J197" s="11" t="s">
        <v>50</v>
      </c>
      <c r="L197" s="13" t="str">
        <f>IFERROR(__xludf.DUMMYFUNCTION("IF(REGEXMATCH($B197,L$1),$D197,"""")"),"")</f>
        <v/>
      </c>
      <c r="M197" s="13" t="str">
        <f>IFERROR(__xludf.DUMMYFUNCTION("IF(REGEXMATCH($B197,M$1),$D197,"""")"),"")</f>
        <v/>
      </c>
      <c r="N197" s="13" t="str">
        <f>IFERROR(__xludf.DUMMYFUNCTION("IF(REGEXMATCH($B197,N$1),$D197,"""")"),"")</f>
        <v/>
      </c>
      <c r="O197" s="13" t="str">
        <f>IFERROR(__xludf.DUMMYFUNCTION("IF(REGEXMATCH($B197,O$1),$D197,"""")"),"Human Hunter")</f>
        <v>Human Hunter</v>
      </c>
      <c r="P197" s="13" t="str">
        <f>IFERROR(__xludf.DUMMYFUNCTION("IF(REGEXMATCH($B197,P$1),$D197,"""")"),"")</f>
        <v/>
      </c>
      <c r="Q197" s="13">
        <f>IFERROR(__xludf.DUMMYFUNCTION("IF($A197="""","""",LEN(REGEXREPLACE($I197,"",\s?"","""")))"),4.0)</f>
        <v>4</v>
      </c>
      <c r="S197" s="13"/>
      <c r="T197" s="13"/>
      <c r="U197" s="13"/>
      <c r="V197" s="13"/>
      <c r="W197" s="13"/>
      <c r="X197" s="13"/>
      <c r="Y197" s="13"/>
      <c r="Z197" s="13"/>
      <c r="AA197" s="13"/>
      <c r="AB197" s="13"/>
    </row>
    <row r="198" hidden="1">
      <c r="A198" s="19" t="s">
        <v>919</v>
      </c>
      <c r="B198" s="19" t="s">
        <v>913</v>
      </c>
      <c r="C198" s="18">
        <v>2.0</v>
      </c>
      <c r="D198" s="18" t="s">
        <v>920</v>
      </c>
      <c r="E198" s="19" t="s">
        <v>921</v>
      </c>
      <c r="F198" s="10" t="str">
        <f>IFERROR(__xludf.DUMMYFUNCTION("IF(REGEXMATCH($E198,""Wizard""),""Wizard "","""")&amp;IF(REGEXMATCH($E198,""Construct""),""Construct "","""")&amp;IF(REGEXMATCH($E198,""Insect""),""Insect "","""")&amp;IF(REGEXMATCH($E198,""Dragon""),""Dragon "","""")&amp;IF(REGEXMATCH($E198,""Human""),""Human "","""")&amp;I"&amp;"F(REGEXMATCH($E198,""Hunter""),""Hunter "","""")&amp;IF(REGEXMATCH($E198,""Animal""),""Animal "","""")&amp;IF(REGEXMATCH($E198,""Undead""),""Undead "","""")&amp;IF(REGEXMATCH($E198,""Plant""),""Plant "","""")&amp;IF(REGEXMATCH($E198,""Dinosaur""),""Dinosaur "","""")&amp;IF(R"&amp;"EGEXMATCH($E198,""Warrior""),""Warrior "","""")&amp;IF(REGEXMATCH($E198,""Spirit""),""Spirit "","""")&amp;IF(REGEXMATCH($E198,""Angel""),""Angel "","""")&amp;IF(REGEXMATCH($E198,""Demon""),""Demon "","""")&amp;IF(REGEXMATCH($E198,""Divine""),""Divine "","""")&amp;IF(REGEXMAT"&amp;"CH($E198,""Elemental""),""Elemental "","""")&amp;IF(REGEXMATCH($E198,""Nature""),""Nature "","""")&amp;IF(REGEXMATCH($E198,""Mortal""),""Mortal "","""")&amp;IF(REGEXMATCH($E198,""Void""),""Void "","""")&amp;IF(REGEXMATCH($E198,""Unearth|Ambush|Ritual|unearth|ambush|ritua"&amp;"l""),""Unearth "","""")&amp;IF(REGEXMATCH($E198,""Unleash|Crystallize|all realms|Crystalborn|crystallize""),""Ramp "","""")&amp;IF(REGEXMATCH($E198,""Demon""),""Demon "","""")&amp;IF(REGEXMATCH($E198,""bury|buries|Bury|Buries|Cleanse|puts a Unit|trail|Trail""),""Cont"&amp;"rol "","""")&amp;IF(REGEXMATCH($E198,""Bounce|Return|Copy|bounce|return|copy""),""Copy "","""")&amp;IF(REGEXMATCH($E198,""conquer|Conquer|leading in lanes|lead by""),""Aggro "","""")&amp;IF(REGEXMATCH($E198,""Ascend|ascend""),""Ascend "","""")&amp;IF(REGEXMATCH($E198,""B"&amp;"ury .+ Crystal|.*crystal.*bury""),""Empty-Crystal"","""")&amp;IF(REGEXMATCH($E198,""Move|move""),""Move"","""")"),"Unearth ")</f>
        <v>Unearth </v>
      </c>
      <c r="G198" s="20" t="s">
        <v>525</v>
      </c>
      <c r="H198" s="18">
        <v>3.0</v>
      </c>
      <c r="I198" s="18" t="s">
        <v>922</v>
      </c>
      <c r="J198" s="11" t="s">
        <v>50</v>
      </c>
      <c r="L198" s="13" t="str">
        <f>IFERROR(__xludf.DUMMYFUNCTION("IF(REGEXMATCH($B198,L$1),$D198,"""")"),"")</f>
        <v/>
      </c>
      <c r="M198" s="13" t="str">
        <f>IFERROR(__xludf.DUMMYFUNCTION("IF(REGEXMATCH($B198,M$1),$D198,"""")"),"")</f>
        <v/>
      </c>
      <c r="N198" s="13" t="str">
        <f>IFERROR(__xludf.DUMMYFUNCTION("IF(REGEXMATCH($B198,N$1),$D198,"""")"),"Demon Wizard")</f>
        <v>Demon Wizard</v>
      </c>
      <c r="O198" s="13" t="str">
        <f>IFERROR(__xludf.DUMMYFUNCTION("IF(REGEXMATCH($B198,O$1),$D198,"""")"),"Demon Wizard")</f>
        <v>Demon Wizard</v>
      </c>
      <c r="P198" s="13" t="str">
        <f>IFERROR(__xludf.DUMMYFUNCTION("IF(REGEXMATCH($B198,P$1),$D198,"""")"),"")</f>
        <v/>
      </c>
      <c r="Q198" s="13">
        <f>IFERROR(__xludf.DUMMYFUNCTION("IF($A198="""","""",LEN(REGEXREPLACE($I198,"",\s?"","""")))"),3.0)</f>
        <v>3</v>
      </c>
      <c r="S198" s="13"/>
      <c r="T198" s="13"/>
      <c r="U198" s="13"/>
      <c r="V198" s="13"/>
      <c r="W198" s="13"/>
      <c r="X198" s="13"/>
      <c r="Y198" s="13"/>
      <c r="Z198" s="13"/>
      <c r="AA198" s="13"/>
      <c r="AB198" s="13"/>
    </row>
    <row r="199" hidden="1">
      <c r="A199" s="22" t="s">
        <v>923</v>
      </c>
      <c r="B199" s="10" t="s">
        <v>913</v>
      </c>
      <c r="C199" s="11">
        <v>2.0</v>
      </c>
      <c r="D199" s="11" t="s">
        <v>924</v>
      </c>
      <c r="E199" s="45" t="s">
        <v>925</v>
      </c>
      <c r="F199" s="10" t="str">
        <f>IFERROR(__xludf.DUMMYFUNCTION("IF(REGEXMATCH($E199,""Wizard""),""Wizard "","""")&amp;IF(REGEXMATCH($E199,""Construct""),""Construct "","""")&amp;IF(REGEXMATCH($E199,""Insect""),""Insect "","""")&amp;IF(REGEXMATCH($E199,""Dragon""),""Dragon "","""")&amp;IF(REGEXMATCH($E199,""Human""),""Human "","""")&amp;I"&amp;"F(REGEXMATCH($E199,""Hunter""),""Hunter "","""")&amp;IF(REGEXMATCH($E199,""Animal""),""Animal "","""")&amp;IF(REGEXMATCH($E199,""Undead""),""Undead "","""")&amp;IF(REGEXMATCH($E199,""Plant""),""Plant "","""")&amp;IF(REGEXMATCH($E199,""Dinosaur""),""Dinosaur "","""")&amp;IF(R"&amp;"EGEXMATCH($E199,""Warrior""),""Warrior "","""")&amp;IF(REGEXMATCH($E199,""Spirit""),""Spirit "","""")&amp;IF(REGEXMATCH($E199,""Angel""),""Angel "","""")&amp;IF(REGEXMATCH($E199,""Demon""),""Demon "","""")&amp;IF(REGEXMATCH($E199,""Divine""),""Divine "","""")&amp;IF(REGEXMAT"&amp;"CH($E199,""Elemental""),""Elemental "","""")&amp;IF(REGEXMATCH($E199,""Nature""),""Nature "","""")&amp;IF(REGEXMATCH($E199,""Mortal""),""Mortal "","""")&amp;IF(REGEXMATCH($E199,""Void""),""Void "","""")&amp;IF(REGEXMATCH($E199,""Unearth|Ambush|Ritual|unearth|ambush|ritua"&amp;"l""),""Unearth "","""")&amp;IF(REGEXMATCH($E199,""Unleash|Crystallize|all realms|Crystalborn|crystallize""),""Ramp "","""")&amp;IF(REGEXMATCH($E199,""Demon""),""Demon "","""")&amp;IF(REGEXMATCH($E199,""bury|buries|Bury|Buries|Cleanse|puts a Unit|trail|Trail""),""Cont"&amp;"rol "","""")&amp;IF(REGEXMATCH($E199,""Bounce|Return|Copy|bounce|return|copy""),""Copy "","""")&amp;IF(REGEXMATCH($E199,""conquer|Conquer|leading in lanes|lead by""),""Aggro "","""")&amp;IF(REGEXMATCH($E199,""Ascend|ascend""),""Ascend "","""")&amp;IF(REGEXMATCH($E199,""B"&amp;"ury .+ Crystal|.*crystal.*bury""),""Empty-Crystal"","""")&amp;IF(REGEXMATCH($E199,""Move|move""),""Move"","""")"),"Void Control ")</f>
        <v>Void Control </v>
      </c>
      <c r="G199" s="12" t="s">
        <v>926</v>
      </c>
      <c r="H199" s="11">
        <v>2.0</v>
      </c>
      <c r="I199" s="25" t="s">
        <v>915</v>
      </c>
      <c r="J199" s="11" t="s">
        <v>50</v>
      </c>
      <c r="L199" s="13" t="str">
        <f>IFERROR(__xludf.DUMMYFUNCTION("IF(REGEXMATCH($B199,L$1),$D199,"""")"),"")</f>
        <v/>
      </c>
      <c r="M199" s="13" t="str">
        <f>IFERROR(__xludf.DUMMYFUNCTION("IF(REGEXMATCH($B199,M$1),$D199,"""")"),"")</f>
        <v/>
      </c>
      <c r="N199" s="13" t="str">
        <f>IFERROR(__xludf.DUMMYFUNCTION("IF(REGEXMATCH($B199,N$1),$D199,"""")"),"Human Undead")</f>
        <v>Human Undead</v>
      </c>
      <c r="O199" s="13" t="str">
        <f>IFERROR(__xludf.DUMMYFUNCTION("IF(REGEXMATCH($B199,O$1),$D199,"""")"),"Human Undead")</f>
        <v>Human Undead</v>
      </c>
      <c r="P199" s="13" t="str">
        <f>IFERROR(__xludf.DUMMYFUNCTION("IF(REGEXMATCH($B199,P$1),$D199,"""")"),"")</f>
        <v/>
      </c>
      <c r="Q199" s="13">
        <f>IFERROR(__xludf.DUMMYFUNCTION("IF($A199="""","""",LEN(REGEXREPLACE($I199,"",\s?"","""")))"),4.0)</f>
        <v>4</v>
      </c>
      <c r="S199" s="13"/>
      <c r="T199" s="13"/>
      <c r="U199" s="13"/>
      <c r="V199" s="13"/>
      <c r="W199" s="13"/>
      <c r="X199" s="13"/>
      <c r="Y199" s="13"/>
      <c r="Z199" s="13"/>
      <c r="AA199" s="13"/>
      <c r="AB199" s="13"/>
    </row>
    <row r="200" hidden="1">
      <c r="A200" s="19" t="s">
        <v>927</v>
      </c>
      <c r="B200" s="19" t="s">
        <v>913</v>
      </c>
      <c r="C200" s="18">
        <v>2.0</v>
      </c>
      <c r="D200" s="18" t="s">
        <v>928</v>
      </c>
      <c r="E200" s="19" t="s">
        <v>929</v>
      </c>
      <c r="F200" s="10" t="str">
        <f>IFERROR(__xludf.DUMMYFUNCTION("IF(REGEXMATCH($E200,""Wizard""),""Wizard "","""")&amp;IF(REGEXMATCH($E200,""Construct""),""Construct "","""")&amp;IF(REGEXMATCH($E200,""Insect""),""Insect "","""")&amp;IF(REGEXMATCH($E200,""Dragon""),""Dragon "","""")&amp;IF(REGEXMATCH($E200,""Human""),""Human "","""")&amp;I"&amp;"F(REGEXMATCH($E200,""Hunter""),""Hunter "","""")&amp;IF(REGEXMATCH($E200,""Animal""),""Animal "","""")&amp;IF(REGEXMATCH($E200,""Undead""),""Undead "","""")&amp;IF(REGEXMATCH($E200,""Plant""),""Plant "","""")&amp;IF(REGEXMATCH($E200,""Dinosaur""),""Dinosaur "","""")&amp;IF(R"&amp;"EGEXMATCH($E200,""Warrior""),""Warrior "","""")&amp;IF(REGEXMATCH($E200,""Spirit""),""Spirit "","""")&amp;IF(REGEXMATCH($E200,""Angel""),""Angel "","""")&amp;IF(REGEXMATCH($E200,""Demon""),""Demon "","""")&amp;IF(REGEXMATCH($E200,""Divine""),""Divine "","""")&amp;IF(REGEXMAT"&amp;"CH($E200,""Elemental""),""Elemental "","""")&amp;IF(REGEXMATCH($E200,""Nature""),""Nature "","""")&amp;IF(REGEXMATCH($E200,""Mortal""),""Mortal "","""")&amp;IF(REGEXMATCH($E200,""Void""),""Void "","""")&amp;IF(REGEXMATCH($E200,""Unearth|Ambush|Ritual|unearth|ambush|ritua"&amp;"l""),""Unearth "","""")&amp;IF(REGEXMATCH($E200,""Unleash|Crystallize|all realms|Crystalborn|crystallize""),""Ramp "","""")&amp;IF(REGEXMATCH($E200,""Demon""),""Demon "","""")&amp;IF(REGEXMATCH($E200,""bury|buries|Bury|Buries|Cleanse|puts a Unit|trail|Trail""),""Cont"&amp;"rol "","""")&amp;IF(REGEXMATCH($E200,""Bounce|Return|Copy|bounce|return|copy""),""Copy "","""")&amp;IF(REGEXMATCH($E200,""conquer|Conquer|leading in lanes|lead by""),""Aggro "","""")&amp;IF(REGEXMATCH($E200,""Ascend|ascend""),""Ascend "","""")&amp;IF(REGEXMATCH($E200,""B"&amp;"ury .+ Crystal|.*crystal.*bury""),""Empty-Crystal"","""")&amp;IF(REGEXMATCH($E200,""Move|move""),""Move"","""")"),"Unearth Control Aggro ")</f>
        <v>Unearth Control Aggro </v>
      </c>
      <c r="G200" s="56"/>
      <c r="H200" s="18">
        <v>3.0</v>
      </c>
      <c r="I200" s="18" t="s">
        <v>930</v>
      </c>
      <c r="J200" s="11" t="s">
        <v>50</v>
      </c>
      <c r="L200" s="13" t="str">
        <f>IFERROR(__xludf.DUMMYFUNCTION("IF(REGEXMATCH($B200,L$1),$D200,"""")"),"")</f>
        <v/>
      </c>
      <c r="M200" s="13" t="str">
        <f>IFERROR(__xludf.DUMMYFUNCTION("IF(REGEXMATCH($B200,M$1),$D200,"""")"),"")</f>
        <v/>
      </c>
      <c r="N200" s="13" t="str">
        <f>IFERROR(__xludf.DUMMYFUNCTION("IF(REGEXMATCH($B200,N$1),$D200,"""")"),"Demon Human")</f>
        <v>Demon Human</v>
      </c>
      <c r="O200" s="13" t="str">
        <f>IFERROR(__xludf.DUMMYFUNCTION("IF(REGEXMATCH($B200,O$1),$D200,"""")"),"Demon Human")</f>
        <v>Demon Human</v>
      </c>
      <c r="P200" s="13" t="str">
        <f>IFERROR(__xludf.DUMMYFUNCTION("IF(REGEXMATCH($B200,P$1),$D200,"""")"),"")</f>
        <v/>
      </c>
      <c r="Q200" s="13">
        <f>IFERROR(__xludf.DUMMYFUNCTION("IF($A200="""","""",LEN(REGEXREPLACE($I200,"",\s?"","""")))"),5.0)</f>
        <v>5</v>
      </c>
      <c r="S200" s="13"/>
      <c r="T200" s="13"/>
      <c r="U200" s="13"/>
      <c r="V200" s="13"/>
      <c r="W200" s="13"/>
      <c r="X200" s="13"/>
      <c r="Y200" s="13"/>
      <c r="Z200" s="13"/>
      <c r="AA200" s="13"/>
      <c r="AB200" s="13"/>
    </row>
    <row r="201">
      <c r="A201" s="10" t="s">
        <v>931</v>
      </c>
      <c r="B201" s="10" t="s">
        <v>14</v>
      </c>
      <c r="C201" s="11">
        <v>1.0</v>
      </c>
      <c r="D201" s="11" t="s">
        <v>221</v>
      </c>
      <c r="E201" s="10"/>
      <c r="F201" s="10" t="str">
        <f>IFERROR(__xludf.DUMMYFUNCTION("IF(REGEXMATCH($E201,""Wizard""),""Wizard "","""")&amp;IF(REGEXMATCH($E201,""Construct""),""Construct "","""")&amp;IF(REGEXMATCH($E201,""Insect""),""Insect "","""")&amp;IF(REGEXMATCH($E201,""Dragon""),""Dragon "","""")&amp;IF(REGEXMATCH($E201,""Human""),""Human "","""")&amp;I"&amp;"F(REGEXMATCH($E201,""Hunter""),""Hunter "","""")&amp;IF(REGEXMATCH($E201,""Animal""),""Animal "","""")&amp;IF(REGEXMATCH($E201,""Undead""),""Undead "","""")&amp;IF(REGEXMATCH($E201,""Plant""),""Plant "","""")&amp;IF(REGEXMATCH($E201,""Dinosaur""),""Dinosaur "","""")&amp;IF(R"&amp;"EGEXMATCH($E201,""Warrior""),""Warrior "","""")&amp;IF(REGEXMATCH($E201,""Spirit""),""Spirit "","""")&amp;IF(REGEXMATCH($E201,""Angel""),""Angel "","""")&amp;IF(REGEXMATCH($E201,""Demon""),""Demon "","""")&amp;IF(REGEXMATCH($E201,""Divine""),""Divine "","""")&amp;IF(REGEXMAT"&amp;"CH($E201,""Elemental""),""Elemental "","""")&amp;IF(REGEXMATCH($E201,""Nature""),""Nature "","""")&amp;IF(REGEXMATCH($E201,""Mortal""),""Mortal "","""")&amp;IF(REGEXMATCH($E201,""Void""),""Void "","""")&amp;IF(REGEXMATCH($E201,""Unearth|Ambush|Ritual|unearth|ambush|ritua"&amp;"l""),""Unearth "","""")&amp;IF(REGEXMATCH($E201,""Unleash|Crystallize|all realms|Crystalborn|crystallize""),""Ramp "","""")&amp;IF(REGEXMATCH($E201,""Demon""),""Demon "","""")&amp;IF(REGEXMATCH($E201,""bury|buries|Bury|Buries|Cleanse|puts a Unit|trail|Trail""),""Cont"&amp;"rol "","""")&amp;IF(REGEXMATCH($E201,""Bounce|Return|Copy|bounce|return|copy""),""Copy "","""")&amp;IF(REGEXMATCH($E201,""conquer|Conquer|leading in lanes|lead by""),""Aggro "","""")&amp;IF(REGEXMATCH($E201,""Ascend|ascend""),""Ascend "","""")&amp;IF(REGEXMATCH($E201,""B"&amp;"ury .+ Crystal|.*crystal.*bury""),""Empty-Crystal"","""")&amp;IF(REGEXMATCH($E201,""Move|move""),""Move"","""")"),"")</f>
        <v/>
      </c>
      <c r="G201" s="12" t="s">
        <v>932</v>
      </c>
      <c r="H201" s="11">
        <v>4.0</v>
      </c>
      <c r="I201" s="11" t="s">
        <v>738</v>
      </c>
      <c r="J201" s="11" t="s">
        <v>42</v>
      </c>
      <c r="L201" s="13" t="str">
        <f>IFERROR(__xludf.DUMMYFUNCTION("IF(REGEXMATCH($B201,L$1),$D201,"""")"),"")</f>
        <v/>
      </c>
      <c r="M201" s="13" t="str">
        <f>IFERROR(__xludf.DUMMYFUNCTION("IF(REGEXMATCH($B201,M$1),$D201,"""")"),"")</f>
        <v/>
      </c>
      <c r="N201" s="13" t="str">
        <f>IFERROR(__xludf.DUMMYFUNCTION("IF(REGEXMATCH($B201,N$1),$D201,"""")"),"")</f>
        <v/>
      </c>
      <c r="O201" s="13" t="str">
        <f>IFERROR(__xludf.DUMMYFUNCTION("IF(REGEXMATCH($B201,O$1),$D201,"""")"),"Human Hunter")</f>
        <v>Human Hunter</v>
      </c>
      <c r="P201" s="13" t="str">
        <f>IFERROR(__xludf.DUMMYFUNCTION("IF(REGEXMATCH($B201,P$1),$D201,"""")"),"")</f>
        <v/>
      </c>
      <c r="Q201" s="13">
        <f>IFERROR(__xludf.DUMMYFUNCTION("IF($A201="""","""",LEN(REGEXREPLACE($I201,"",\s?"","""")))"),3.0)</f>
        <v>3</v>
      </c>
      <c r="S201" s="13"/>
      <c r="T201" s="13"/>
      <c r="U201" s="13"/>
      <c r="V201" s="13"/>
      <c r="W201" s="13"/>
      <c r="X201" s="13"/>
      <c r="Y201" s="13"/>
      <c r="Z201" s="13"/>
      <c r="AA201" s="13"/>
      <c r="AB201" s="13"/>
    </row>
    <row r="202">
      <c r="A202" s="29" t="s">
        <v>933</v>
      </c>
      <c r="B202" s="10" t="s">
        <v>14</v>
      </c>
      <c r="C202" s="11">
        <v>1.0</v>
      </c>
      <c r="D202" s="11" t="s">
        <v>221</v>
      </c>
      <c r="E202" s="10" t="s">
        <v>934</v>
      </c>
      <c r="F202" s="10" t="str">
        <f>IFERROR(__xludf.DUMMYFUNCTION("IF(REGEXMATCH($E202,""Wizard""),""Wizard "","""")&amp;IF(REGEXMATCH($E202,""Construct""),""Construct "","""")&amp;IF(REGEXMATCH($E202,""Insect""),""Insect "","""")&amp;IF(REGEXMATCH($E202,""Dragon""),""Dragon "","""")&amp;IF(REGEXMATCH($E202,""Human""),""Human "","""")&amp;I"&amp;"F(REGEXMATCH($E202,""Hunter""),""Hunter "","""")&amp;IF(REGEXMATCH($E202,""Animal""),""Animal "","""")&amp;IF(REGEXMATCH($E202,""Undead""),""Undead "","""")&amp;IF(REGEXMATCH($E202,""Plant""),""Plant "","""")&amp;IF(REGEXMATCH($E202,""Dinosaur""),""Dinosaur "","""")&amp;IF(R"&amp;"EGEXMATCH($E202,""Warrior""),""Warrior "","""")&amp;IF(REGEXMATCH($E202,""Spirit""),""Spirit "","""")&amp;IF(REGEXMATCH($E202,""Angel""),""Angel "","""")&amp;IF(REGEXMATCH($E202,""Demon""),""Demon "","""")&amp;IF(REGEXMATCH($E202,""Divine""),""Divine "","""")&amp;IF(REGEXMAT"&amp;"CH($E202,""Elemental""),""Elemental "","""")&amp;IF(REGEXMATCH($E202,""Nature""),""Nature "","""")&amp;IF(REGEXMATCH($E202,""Mortal""),""Mortal "","""")&amp;IF(REGEXMATCH($E202,""Void""),""Void "","""")&amp;IF(REGEXMATCH($E202,""Unearth|Ambush|Ritual|unearth|ambush|ritua"&amp;"l""),""Unearth "","""")&amp;IF(REGEXMATCH($E202,""Unleash|Crystallize|all realms|Crystalborn|crystallize""),""Ramp "","""")&amp;IF(REGEXMATCH($E202,""Demon""),""Demon "","""")&amp;IF(REGEXMATCH($E202,""bury|buries|Bury|Buries|Cleanse|puts a Unit|trail|Trail""),""Cont"&amp;"rol "","""")&amp;IF(REGEXMATCH($E202,""Bounce|Return|Copy|bounce|return|copy""),""Copy "","""")&amp;IF(REGEXMATCH($E202,""conquer|Conquer|leading in lanes|lead by""),""Aggro "","""")&amp;IF(REGEXMATCH($E202,""Ascend|ascend""),""Ascend "","""")&amp;IF(REGEXMATCH($E202,""B"&amp;"ury .+ Crystal|.*crystal.*bury""),""Empty-Crystal"","""")&amp;IF(REGEXMATCH($E202,""Move|move""),""Move"","""")"),"Unearth Control ")</f>
        <v>Unearth Control </v>
      </c>
      <c r="G202" s="12" t="s">
        <v>935</v>
      </c>
      <c r="H202" s="21">
        <v>3.0</v>
      </c>
      <c r="I202" s="11" t="s">
        <v>823</v>
      </c>
      <c r="J202" s="21" t="s">
        <v>50</v>
      </c>
      <c r="L202" s="13" t="str">
        <f>IFERROR(__xludf.DUMMYFUNCTION("IF(REGEXMATCH($B202,L$1),$D202,"""")"),"")</f>
        <v/>
      </c>
      <c r="M202" s="13" t="str">
        <f>IFERROR(__xludf.DUMMYFUNCTION("IF(REGEXMATCH($B202,M$1),$D202,"""")"),"")</f>
        <v/>
      </c>
      <c r="N202" s="13" t="str">
        <f>IFERROR(__xludf.DUMMYFUNCTION("IF(REGEXMATCH($B202,N$1),$D202,"""")"),"")</f>
        <v/>
      </c>
      <c r="O202" s="13" t="str">
        <f>IFERROR(__xludf.DUMMYFUNCTION("IF(REGEXMATCH($B202,O$1),$D202,"""")"),"Human Hunter")</f>
        <v>Human Hunter</v>
      </c>
      <c r="P202" s="13" t="str">
        <f>IFERROR(__xludf.DUMMYFUNCTION("IF(REGEXMATCH($B202,P$1),$D202,"""")"),"")</f>
        <v/>
      </c>
      <c r="Q202" s="13">
        <f>IFERROR(__xludf.DUMMYFUNCTION("IF($A202="""","""",LEN(REGEXREPLACE($I202,"",\s?"","""")))"),4.0)</f>
        <v>4</v>
      </c>
      <c r="S202" s="13"/>
      <c r="T202" s="13"/>
      <c r="U202" s="13"/>
      <c r="V202" s="13"/>
      <c r="W202" s="13"/>
      <c r="X202" s="13"/>
      <c r="Y202" s="13"/>
      <c r="Z202" s="13"/>
      <c r="AA202" s="13"/>
      <c r="AB202" s="13"/>
    </row>
    <row r="203" hidden="1">
      <c r="A203" s="19" t="s">
        <v>936</v>
      </c>
      <c r="B203" s="19" t="s">
        <v>913</v>
      </c>
      <c r="C203" s="18">
        <v>2.0</v>
      </c>
      <c r="D203" s="18" t="s">
        <v>814</v>
      </c>
      <c r="E203" s="19" t="s">
        <v>937</v>
      </c>
      <c r="F203" s="10" t="str">
        <f>IFERROR(__xludf.DUMMYFUNCTION("IF(REGEXMATCH($E203,""Wizard""),""Wizard "","""")&amp;IF(REGEXMATCH($E203,""Construct""),""Construct "","""")&amp;IF(REGEXMATCH($E203,""Insect""),""Insect "","""")&amp;IF(REGEXMATCH($E203,""Dragon""),""Dragon "","""")&amp;IF(REGEXMATCH($E203,""Human""),""Human "","""")&amp;I"&amp;"F(REGEXMATCH($E203,""Hunter""),""Hunter "","""")&amp;IF(REGEXMATCH($E203,""Animal""),""Animal "","""")&amp;IF(REGEXMATCH($E203,""Undead""),""Undead "","""")&amp;IF(REGEXMATCH($E203,""Plant""),""Plant "","""")&amp;IF(REGEXMATCH($E203,""Dinosaur""),""Dinosaur "","""")&amp;IF(R"&amp;"EGEXMATCH($E203,""Warrior""),""Warrior "","""")&amp;IF(REGEXMATCH($E203,""Spirit""),""Spirit "","""")&amp;IF(REGEXMATCH($E203,""Angel""),""Angel "","""")&amp;IF(REGEXMATCH($E203,""Demon""),""Demon "","""")&amp;IF(REGEXMATCH($E203,""Divine""),""Divine "","""")&amp;IF(REGEXMAT"&amp;"CH($E203,""Elemental""),""Elemental "","""")&amp;IF(REGEXMATCH($E203,""Nature""),""Nature "","""")&amp;IF(REGEXMATCH($E203,""Mortal""),""Mortal "","""")&amp;IF(REGEXMATCH($E203,""Void""),""Void "","""")&amp;IF(REGEXMATCH($E203,""Unearth|Ambush|Ritual|unearth|ambush|ritua"&amp;"l""),""Unearth "","""")&amp;IF(REGEXMATCH($E203,""Unleash|Crystallize|all realms|Crystalborn|crystallize""),""Ramp "","""")&amp;IF(REGEXMATCH($E203,""Demon""),""Demon "","""")&amp;IF(REGEXMATCH($E203,""bury|buries|Bury|Buries|Cleanse|puts a Unit|trail|Trail""),""Cont"&amp;"rol "","""")&amp;IF(REGEXMATCH($E203,""Bounce|Return|Copy|bounce|return|copy""),""Copy "","""")&amp;IF(REGEXMATCH($E203,""conquer|Conquer|leading in lanes|lead by""),""Aggro "","""")&amp;IF(REGEXMATCH($E203,""Ascend|ascend""),""Ascend "","""")&amp;IF(REGEXMATCH($E203,""B"&amp;"ury .+ Crystal|.*crystal.*bury""),""Empty-Crystal"","""")&amp;IF(REGEXMATCH($E203,""Move|move""),""Move"","""")"),"Control ")</f>
        <v>Control </v>
      </c>
      <c r="G203" s="56"/>
      <c r="H203" s="18">
        <v>7.0</v>
      </c>
      <c r="I203" s="18" t="s">
        <v>938</v>
      </c>
      <c r="J203" s="18" t="s">
        <v>50</v>
      </c>
      <c r="L203" s="13" t="str">
        <f>IFERROR(__xludf.DUMMYFUNCTION("IF(REGEXMATCH($B203,L$1),$D203,"""")"),"")</f>
        <v/>
      </c>
      <c r="M203" s="13" t="str">
        <f>IFERROR(__xludf.DUMMYFUNCTION("IF(REGEXMATCH($B203,M$1),$D203,"""")"),"")</f>
        <v/>
      </c>
      <c r="N203" s="13" t="str">
        <f>IFERROR(__xludf.DUMMYFUNCTION("IF(REGEXMATCH($B203,N$1),$D203,"""")"),"Undead")</f>
        <v>Undead</v>
      </c>
      <c r="O203" s="13" t="str">
        <f>IFERROR(__xludf.DUMMYFUNCTION("IF(REGEXMATCH($B203,O$1),$D203,"""")"),"Undead")</f>
        <v>Undead</v>
      </c>
      <c r="P203" s="13" t="str">
        <f>IFERROR(__xludf.DUMMYFUNCTION("IF(REGEXMATCH($B203,P$1),$D203,"""")"),"")</f>
        <v/>
      </c>
      <c r="Q203" s="13">
        <f>IFERROR(__xludf.DUMMYFUNCTION("IF($A203="""","""",LEN(REGEXREPLACE($I203,"",\s?"","""")))"),6.0)</f>
        <v>6</v>
      </c>
      <c r="S203" s="13"/>
      <c r="T203" s="13"/>
      <c r="U203" s="13"/>
      <c r="V203" s="13"/>
      <c r="W203" s="13"/>
      <c r="X203" s="13"/>
      <c r="Y203" s="13"/>
      <c r="Z203" s="13"/>
      <c r="AA203" s="13"/>
      <c r="AB203" s="13"/>
    </row>
    <row r="204">
      <c r="A204" s="19" t="s">
        <v>939</v>
      </c>
      <c r="B204" s="19" t="s">
        <v>14</v>
      </c>
      <c r="C204" s="18">
        <v>1.0</v>
      </c>
      <c r="D204" s="18" t="s">
        <v>221</v>
      </c>
      <c r="E204" s="19" t="s">
        <v>940</v>
      </c>
      <c r="F204" s="10" t="str">
        <f>IFERROR(__xludf.DUMMYFUNCTION("IF(REGEXMATCH($E204,""Wizard""),""Wizard "","""")&amp;IF(REGEXMATCH($E204,""Construct""),""Construct "","""")&amp;IF(REGEXMATCH($E204,""Insect""),""Insect "","""")&amp;IF(REGEXMATCH($E204,""Dragon""),""Dragon "","""")&amp;IF(REGEXMATCH($E204,""Human""),""Human "","""")&amp;I"&amp;"F(REGEXMATCH($E204,""Hunter""),""Hunter "","""")&amp;IF(REGEXMATCH($E204,""Animal""),""Animal "","""")&amp;IF(REGEXMATCH($E204,""Undead""),""Undead "","""")&amp;IF(REGEXMATCH($E204,""Plant""),""Plant "","""")&amp;IF(REGEXMATCH($E204,""Dinosaur""),""Dinosaur "","""")&amp;IF(R"&amp;"EGEXMATCH($E204,""Warrior""),""Warrior "","""")&amp;IF(REGEXMATCH($E204,""Spirit""),""Spirit "","""")&amp;IF(REGEXMATCH($E204,""Angel""),""Angel "","""")&amp;IF(REGEXMATCH($E204,""Demon""),""Demon "","""")&amp;IF(REGEXMATCH($E204,""Divine""),""Divine "","""")&amp;IF(REGEXMAT"&amp;"CH($E204,""Elemental""),""Elemental "","""")&amp;IF(REGEXMATCH($E204,""Nature""),""Nature "","""")&amp;IF(REGEXMATCH($E204,""Mortal""),""Mortal "","""")&amp;IF(REGEXMATCH($E204,""Void""),""Void "","""")&amp;IF(REGEXMATCH($E204,""Unearth|Ambush|Ritual|unearth|ambush|ritua"&amp;"l""),""Unearth "","""")&amp;IF(REGEXMATCH($E204,""Unleash|Crystallize|all realms|Crystalborn|crystallize""),""Ramp "","""")&amp;IF(REGEXMATCH($E204,""Demon""),""Demon "","""")&amp;IF(REGEXMATCH($E204,""bury|buries|Bury|Buries|Cleanse|puts a Unit|trail|Trail""),""Cont"&amp;"rol "","""")&amp;IF(REGEXMATCH($E204,""Bounce|Return|Copy|bounce|return|copy""),""Copy "","""")&amp;IF(REGEXMATCH($E204,""conquer|Conquer|leading in lanes|lead by""),""Aggro "","""")&amp;IF(REGEXMATCH($E204,""Ascend|ascend""),""Ascend "","""")&amp;IF(REGEXMATCH($E204,""B"&amp;"ury .+ Crystal|.*crystal.*bury""),""Empty-Crystal"","""")&amp;IF(REGEXMATCH($E204,""Move|move""),""Move"","""")"),"Unearth Copy ")</f>
        <v>Unearth Copy </v>
      </c>
      <c r="G204" s="20" t="s">
        <v>941</v>
      </c>
      <c r="H204" s="18">
        <v>2.0</v>
      </c>
      <c r="I204" s="18" t="s">
        <v>829</v>
      </c>
      <c r="J204" s="18" t="s">
        <v>50</v>
      </c>
      <c r="L204" s="13" t="str">
        <f>IFERROR(__xludf.DUMMYFUNCTION("IF(REGEXMATCH($B204,L$1),$D204,"""")"),"")</f>
        <v/>
      </c>
      <c r="M204" s="13" t="str">
        <f>IFERROR(__xludf.DUMMYFUNCTION("IF(REGEXMATCH($B204,M$1),$D204,"""")"),"")</f>
        <v/>
      </c>
      <c r="N204" s="13" t="str">
        <f>IFERROR(__xludf.DUMMYFUNCTION("IF(REGEXMATCH($B204,N$1),$D204,"""")"),"")</f>
        <v/>
      </c>
      <c r="O204" s="13" t="str">
        <f>IFERROR(__xludf.DUMMYFUNCTION("IF(REGEXMATCH($B204,O$1),$D204,"""")"),"Human Hunter")</f>
        <v>Human Hunter</v>
      </c>
      <c r="P204" s="13" t="str">
        <f>IFERROR(__xludf.DUMMYFUNCTION("IF(REGEXMATCH($B204,P$1),$D204,"""")"),"")</f>
        <v/>
      </c>
      <c r="Q204" s="13">
        <f>IFERROR(__xludf.DUMMYFUNCTION("IF($A204="""","""",LEN(REGEXREPLACE($I204,"",\s?"","""")))"),3.0)</f>
        <v>3</v>
      </c>
      <c r="S204" s="13"/>
      <c r="T204" s="13"/>
      <c r="U204" s="13"/>
      <c r="V204" s="13"/>
      <c r="W204" s="13"/>
      <c r="X204" s="13"/>
      <c r="Y204" s="13"/>
      <c r="Z204" s="13"/>
      <c r="AA204" s="13"/>
      <c r="AB204" s="13"/>
    </row>
    <row r="205" hidden="1">
      <c r="A205" s="19" t="s">
        <v>942</v>
      </c>
      <c r="B205" s="19" t="s">
        <v>913</v>
      </c>
      <c r="C205" s="18">
        <v>2.0</v>
      </c>
      <c r="D205" s="18" t="s">
        <v>44</v>
      </c>
      <c r="E205" s="19" t="s">
        <v>943</v>
      </c>
      <c r="F205" s="10" t="str">
        <f>IFERROR(__xludf.DUMMYFUNCTION("IF(REGEXMATCH($E205,""Wizard""),""Wizard "","""")&amp;IF(REGEXMATCH($E205,""Construct""),""Construct "","""")&amp;IF(REGEXMATCH($E205,""Insect""),""Insect "","""")&amp;IF(REGEXMATCH($E205,""Dragon""),""Dragon "","""")&amp;IF(REGEXMATCH($E205,""Human""),""Human "","""")&amp;I"&amp;"F(REGEXMATCH($E205,""Hunter""),""Hunter "","""")&amp;IF(REGEXMATCH($E205,""Animal""),""Animal "","""")&amp;IF(REGEXMATCH($E205,""Undead""),""Undead "","""")&amp;IF(REGEXMATCH($E205,""Plant""),""Plant "","""")&amp;IF(REGEXMATCH($E205,""Dinosaur""),""Dinosaur "","""")&amp;IF(R"&amp;"EGEXMATCH($E205,""Warrior""),""Warrior "","""")&amp;IF(REGEXMATCH($E205,""Spirit""),""Spirit "","""")&amp;IF(REGEXMATCH($E205,""Angel""),""Angel "","""")&amp;IF(REGEXMATCH($E205,""Demon""),""Demon "","""")&amp;IF(REGEXMATCH($E205,""Divine""),""Divine "","""")&amp;IF(REGEXMAT"&amp;"CH($E205,""Elemental""),""Elemental "","""")&amp;IF(REGEXMATCH($E205,""Nature""),""Nature "","""")&amp;IF(REGEXMATCH($E205,""Mortal""),""Mortal "","""")&amp;IF(REGEXMATCH($E205,""Void""),""Void "","""")&amp;IF(REGEXMATCH($E205,""Unearth|Ambush|Ritual|unearth|ambush|ritua"&amp;"l""),""Unearth "","""")&amp;IF(REGEXMATCH($E205,""Unleash|Crystallize|all realms|Crystalborn|crystallize""),""Ramp "","""")&amp;IF(REGEXMATCH($E205,""Demon""),""Demon "","""")&amp;IF(REGEXMATCH($E205,""bury|buries|Bury|Buries|Cleanse|puts a Unit|trail|Trail""),""Cont"&amp;"rol "","""")&amp;IF(REGEXMATCH($E205,""Bounce|Return|Copy|bounce|return|copy""),""Copy "","""")&amp;IF(REGEXMATCH($E205,""conquer|Conquer|leading in lanes|lead by""),""Aggro "","""")&amp;IF(REGEXMATCH($E205,""Ascend|ascend""),""Ascend "","""")&amp;IF(REGEXMATCH($E205,""B"&amp;"ury .+ Crystal|.*crystal.*bury""),""Empty-Crystal"","""")&amp;IF(REGEXMATCH($E205,""Move|move""),""Move"","""")"),"Control ")</f>
        <v>Control </v>
      </c>
      <c r="G205" s="56"/>
      <c r="H205" s="18">
        <v>1.0</v>
      </c>
      <c r="I205" s="18" t="s">
        <v>944</v>
      </c>
      <c r="J205" s="18" t="s">
        <v>42</v>
      </c>
      <c r="L205" s="13" t="str">
        <f>IFERROR(__xludf.DUMMYFUNCTION("IF(REGEXMATCH($B205,L$1),$D205,"""")"),"")</f>
        <v/>
      </c>
      <c r="M205" s="13" t="str">
        <f>IFERROR(__xludf.DUMMYFUNCTION("IF(REGEXMATCH($B205,M$1),$D205,"""")"),"")</f>
        <v/>
      </c>
      <c r="N205" s="13" t="str">
        <f>IFERROR(__xludf.DUMMYFUNCTION("IF(REGEXMATCH($B205,N$1),$D205,"""")"),"Human")</f>
        <v>Human</v>
      </c>
      <c r="O205" s="13" t="str">
        <f>IFERROR(__xludf.DUMMYFUNCTION("IF(REGEXMATCH($B205,O$1),$D205,"""")"),"Human")</f>
        <v>Human</v>
      </c>
      <c r="P205" s="13" t="str">
        <f>IFERROR(__xludf.DUMMYFUNCTION("IF(REGEXMATCH($B205,P$1),$D205,"""")"),"")</f>
        <v/>
      </c>
      <c r="Q205" s="13">
        <f>IFERROR(__xludf.DUMMYFUNCTION("IF($A205="""","""",LEN(REGEXREPLACE($I205,"",\s?"","""")))"),2.0)</f>
        <v>2</v>
      </c>
      <c r="S205" s="13"/>
      <c r="T205" s="13"/>
      <c r="U205" s="13"/>
      <c r="V205" s="13"/>
      <c r="W205" s="13"/>
      <c r="X205" s="13"/>
      <c r="Y205" s="13"/>
      <c r="Z205" s="13"/>
      <c r="AA205" s="13"/>
      <c r="AB205" s="13"/>
    </row>
    <row r="206">
      <c r="A206" s="19" t="s">
        <v>945</v>
      </c>
      <c r="B206" s="10" t="s">
        <v>14</v>
      </c>
      <c r="C206" s="11">
        <v>1.0</v>
      </c>
      <c r="D206" s="11" t="s">
        <v>363</v>
      </c>
      <c r="F206" s="10" t="str">
        <f>IFERROR(__xludf.DUMMYFUNCTION("IF(REGEXMATCH($E206,""Wizard""),""Wizard "","""")&amp;IF(REGEXMATCH($E206,""Construct""),""Construct "","""")&amp;IF(REGEXMATCH($E206,""Insect""),""Insect "","""")&amp;IF(REGEXMATCH($E206,""Dragon""),""Dragon "","""")&amp;IF(REGEXMATCH($E206,""Human""),""Human "","""")&amp;I"&amp;"F(REGEXMATCH($E206,""Hunter""),""Hunter "","""")&amp;IF(REGEXMATCH($E206,""Animal""),""Animal "","""")&amp;IF(REGEXMATCH($E206,""Undead""),""Undead "","""")&amp;IF(REGEXMATCH($E206,""Plant""),""Plant "","""")&amp;IF(REGEXMATCH($E206,""Dinosaur""),""Dinosaur "","""")&amp;IF(R"&amp;"EGEXMATCH($E206,""Warrior""),""Warrior "","""")&amp;IF(REGEXMATCH($E206,""Spirit""),""Spirit "","""")&amp;IF(REGEXMATCH($E206,""Angel""),""Angel "","""")&amp;IF(REGEXMATCH($E206,""Demon""),""Demon "","""")&amp;IF(REGEXMATCH($E206,""Divine""),""Divine "","""")&amp;IF(REGEXMAT"&amp;"CH($E206,""Elemental""),""Elemental "","""")&amp;IF(REGEXMATCH($E206,""Nature""),""Nature "","""")&amp;IF(REGEXMATCH($E206,""Mortal""),""Mortal "","""")&amp;IF(REGEXMATCH($E206,""Void""),""Void "","""")&amp;IF(REGEXMATCH($E206,""Unearth|Ambush|Ritual|unearth|ambush|ritua"&amp;"l""),""Unearth "","""")&amp;IF(REGEXMATCH($E206,""Unleash|Crystallize|all realms|Crystalborn|crystallize""),""Ramp "","""")&amp;IF(REGEXMATCH($E206,""Demon""),""Demon "","""")&amp;IF(REGEXMATCH($E206,""bury|buries|Bury|Buries|Cleanse|puts a Unit|trail|Trail""),""Cont"&amp;"rol "","""")&amp;IF(REGEXMATCH($E206,""Bounce|Return|Copy|bounce|return|copy""),""Copy "","""")&amp;IF(REGEXMATCH($E206,""conquer|Conquer|leading in lanes|lead by""),""Aggro "","""")&amp;IF(REGEXMATCH($E206,""Ascend|ascend""),""Ascend "","""")&amp;IF(REGEXMATCH($E206,""B"&amp;"ury .+ Crystal|.*crystal.*bury""),""Empty-Crystal"","""")&amp;IF(REGEXMATCH($E206,""Move|move""),""Move"","""")"),"")</f>
        <v/>
      </c>
      <c r="G206" s="78" t="s">
        <v>946</v>
      </c>
      <c r="H206" s="11">
        <v>5.0</v>
      </c>
      <c r="I206" s="18" t="s">
        <v>793</v>
      </c>
      <c r="J206" s="11" t="s">
        <v>42</v>
      </c>
      <c r="L206" s="13" t="str">
        <f>IFERROR(__xludf.DUMMYFUNCTION("IF(REGEXMATCH($B206,L$1),$D206,"""")"),"")</f>
        <v/>
      </c>
      <c r="M206" s="13" t="str">
        <f>IFERROR(__xludf.DUMMYFUNCTION("IF(REGEXMATCH($B206,M$1),$D206,"""")"),"")</f>
        <v/>
      </c>
      <c r="N206" s="13" t="str">
        <f>IFERROR(__xludf.DUMMYFUNCTION("IF(REGEXMATCH($B206,N$1),$D206,"""")"),"")</f>
        <v/>
      </c>
      <c r="O206" s="13" t="str">
        <f>IFERROR(__xludf.DUMMYFUNCTION("IF(REGEXMATCH($B206,O$1),$D206,"""")"),"Human Warrior")</f>
        <v>Human Warrior</v>
      </c>
      <c r="P206" s="13" t="str">
        <f>IFERROR(__xludf.DUMMYFUNCTION("IF(REGEXMATCH($B206,P$1),$D206,"""")"),"")</f>
        <v/>
      </c>
      <c r="Q206" s="13">
        <f>IFERROR(__xludf.DUMMYFUNCTION("IF($A206="""","""",LEN(REGEXREPLACE($I206,"",\s?"","""")))"),5.0)</f>
        <v>5</v>
      </c>
      <c r="S206" s="13"/>
      <c r="T206" s="13"/>
      <c r="U206" s="13"/>
      <c r="V206" s="13"/>
      <c r="W206" s="13"/>
      <c r="X206" s="13"/>
      <c r="Y206" s="13"/>
      <c r="Z206" s="13"/>
      <c r="AA206" s="13"/>
      <c r="AB206" s="13"/>
    </row>
    <row r="207" hidden="1">
      <c r="A207" s="10" t="s">
        <v>947</v>
      </c>
      <c r="B207" s="79" t="s">
        <v>12</v>
      </c>
      <c r="C207" s="11">
        <v>2.0</v>
      </c>
      <c r="D207" s="11" t="s">
        <v>139</v>
      </c>
      <c r="E207" s="19" t="s">
        <v>948</v>
      </c>
      <c r="F207" s="10" t="str">
        <f>IFERROR(__xludf.DUMMYFUNCTION("IF(REGEXMATCH($E207,""Wizard""),""Wizard "","""")&amp;IF(REGEXMATCH($E207,""Construct""),""Construct "","""")&amp;IF(REGEXMATCH($E207,""Insect""),""Insect "","""")&amp;IF(REGEXMATCH($E207,""Dragon""),""Dragon "","""")&amp;IF(REGEXMATCH($E207,""Human""),""Human "","""")&amp;I"&amp;"F(REGEXMATCH($E207,""Hunter""),""Hunter "","""")&amp;IF(REGEXMATCH($E207,""Animal""),""Animal "","""")&amp;IF(REGEXMATCH($E207,""Undead""),""Undead "","""")&amp;IF(REGEXMATCH($E207,""Plant""),""Plant "","""")&amp;IF(REGEXMATCH($E207,""Dinosaur""),""Dinosaur "","""")&amp;IF(R"&amp;"EGEXMATCH($E207,""Warrior""),""Warrior "","""")&amp;IF(REGEXMATCH($E207,""Spirit""),""Spirit "","""")&amp;IF(REGEXMATCH($E207,""Angel""),""Angel "","""")&amp;IF(REGEXMATCH($E207,""Demon""),""Demon "","""")&amp;IF(REGEXMATCH($E207,""Divine""),""Divine "","""")&amp;IF(REGEXMAT"&amp;"CH($E207,""Elemental""),""Elemental "","""")&amp;IF(REGEXMATCH($E207,""Nature""),""Nature "","""")&amp;IF(REGEXMATCH($E207,""Mortal""),""Mortal "","""")&amp;IF(REGEXMATCH($E207,""Void""),""Void "","""")&amp;IF(REGEXMATCH($E207,""Unearth|Ambush|Ritual|unearth|ambush|ritua"&amp;"l""),""Unearth "","""")&amp;IF(REGEXMATCH($E207,""Unleash|Crystallize|all realms|Crystalborn|crystallize""),""Ramp "","""")&amp;IF(REGEXMATCH($E207,""Demon""),""Demon "","""")&amp;IF(REGEXMATCH($E207,""bury|buries|Bury|Buries|Cleanse|puts a Unit|trail|Trail""),""Cont"&amp;"rol "","""")&amp;IF(REGEXMATCH($E207,""Bounce|Return|Copy|bounce|return|copy""),""Copy "","""")&amp;IF(REGEXMATCH($E207,""conquer|Conquer|leading in lanes|lead by""),""Aggro "","""")&amp;IF(REGEXMATCH($E207,""Ascend|ascend""),""Ascend "","""")&amp;IF(REGEXMATCH($E207,""B"&amp;"ury .+ Crystal|.*crystal.*bury""),""Empty-Crystal"","""")&amp;IF(REGEXMATCH($E207,""Move|move""),""Move"","""")"),"Nature Ascend ")</f>
        <v>Nature Ascend </v>
      </c>
      <c r="G207" s="20" t="s">
        <v>40</v>
      </c>
      <c r="H207" s="11">
        <v>0.0</v>
      </c>
      <c r="I207" s="11" t="s">
        <v>949</v>
      </c>
      <c r="J207" s="11" t="s">
        <v>33</v>
      </c>
      <c r="L207" s="13" t="str">
        <f>IFERROR(__xludf.DUMMYFUNCTION("IF(REGEXMATCH($B207,L$1),$D207,"""")"),"")</f>
        <v/>
      </c>
      <c r="M207" s="13" t="str">
        <f>IFERROR(__xludf.DUMMYFUNCTION("IF(REGEXMATCH($B207,M$1),$D207,"""")"),"Animal")</f>
        <v>Animal</v>
      </c>
      <c r="N207" s="13" t="str">
        <f>IFERROR(__xludf.DUMMYFUNCTION("IF(REGEXMATCH($B207,N$1),$D207,"""")"),"")</f>
        <v/>
      </c>
      <c r="O207" s="13" t="str">
        <f>IFERROR(__xludf.DUMMYFUNCTION("IF(REGEXMATCH($B207,O$1),$D207,"""")"),"")</f>
        <v/>
      </c>
      <c r="P207" s="13" t="str">
        <f>IFERROR(__xludf.DUMMYFUNCTION("IF(REGEXMATCH($B207,P$1),$D207,"""")"),"")</f>
        <v/>
      </c>
      <c r="Q207" s="13">
        <f>IFERROR(__xludf.DUMMYFUNCTION("IF($A207="""","""",LEN(REGEXREPLACE($I207,"",\s?"","""")))"),2.0)</f>
        <v>2</v>
      </c>
      <c r="S207" s="13"/>
      <c r="T207" s="13"/>
      <c r="U207" s="13"/>
      <c r="V207" s="13"/>
      <c r="W207" s="13"/>
      <c r="X207" s="13"/>
      <c r="Y207" s="13"/>
      <c r="Z207" s="13"/>
      <c r="AA207" s="13"/>
      <c r="AB207" s="13"/>
    </row>
    <row r="208" hidden="1">
      <c r="A208" s="13" t="s">
        <v>950</v>
      </c>
      <c r="B208" s="45" t="s">
        <v>12</v>
      </c>
      <c r="C208" s="11">
        <v>2.0</v>
      </c>
      <c r="D208" s="11" t="s">
        <v>543</v>
      </c>
      <c r="E208" s="10" t="s">
        <v>951</v>
      </c>
      <c r="F208" s="10" t="str">
        <f>IFERROR(__xludf.DUMMYFUNCTION("IF(REGEXMATCH($E208,""Wizard""),""Wizard "","""")&amp;IF(REGEXMATCH($E208,""Construct""),""Construct "","""")&amp;IF(REGEXMATCH($E208,""Insect""),""Insect "","""")&amp;IF(REGEXMATCH($E208,""Dragon""),""Dragon "","""")&amp;IF(REGEXMATCH($E208,""Human""),""Human "","""")&amp;I"&amp;"F(REGEXMATCH($E208,""Hunter""),""Hunter "","""")&amp;IF(REGEXMATCH($E208,""Animal""),""Animal "","""")&amp;IF(REGEXMATCH($E208,""Undead""),""Undead "","""")&amp;IF(REGEXMATCH($E208,""Plant""),""Plant "","""")&amp;IF(REGEXMATCH($E208,""Dinosaur""),""Dinosaur "","""")&amp;IF(R"&amp;"EGEXMATCH($E208,""Warrior""),""Warrior "","""")&amp;IF(REGEXMATCH($E208,""Spirit""),""Spirit "","""")&amp;IF(REGEXMATCH($E208,""Angel""),""Angel "","""")&amp;IF(REGEXMATCH($E208,""Demon""),""Demon "","""")&amp;IF(REGEXMATCH($E208,""Divine""),""Divine "","""")&amp;IF(REGEXMAT"&amp;"CH($E208,""Elemental""),""Elemental "","""")&amp;IF(REGEXMATCH($E208,""Nature""),""Nature "","""")&amp;IF(REGEXMATCH($E208,""Mortal""),""Mortal "","""")&amp;IF(REGEXMATCH($E208,""Void""),""Void "","""")&amp;IF(REGEXMATCH($E208,""Unearth|Ambush|Ritual|unearth|ambush|ritua"&amp;"l""),""Unearth "","""")&amp;IF(REGEXMATCH($E208,""Unleash|Crystallize|all realms|Crystalborn|crystallize""),""Ramp "","""")&amp;IF(REGEXMATCH($E208,""Demon""),""Demon "","""")&amp;IF(REGEXMATCH($E208,""bury|buries|Bury|Buries|Cleanse|puts a Unit|trail|Trail""),""Cont"&amp;"rol "","""")&amp;IF(REGEXMATCH($E208,""Bounce|Return|Copy|bounce|return|copy""),""Copy "","""")&amp;IF(REGEXMATCH($E208,""conquer|Conquer|leading in lanes|lead by""),""Aggro "","""")&amp;IF(REGEXMATCH($E208,""Ascend|ascend""),""Ascend "","""")&amp;IF(REGEXMATCH($E208,""B"&amp;"ury .+ Crystal|.*crystal.*bury""),""Empty-Crystal"","""")&amp;IF(REGEXMATCH($E208,""Move|move""),""Move"","""")"),"Ramp ")</f>
        <v>Ramp </v>
      </c>
      <c r="G208" s="12" t="s">
        <v>952</v>
      </c>
      <c r="H208" s="11">
        <v>6.0</v>
      </c>
      <c r="I208" s="11" t="s">
        <v>953</v>
      </c>
      <c r="J208" s="11" t="s">
        <v>33</v>
      </c>
      <c r="L208" s="13" t="str">
        <f>IFERROR(__xludf.DUMMYFUNCTION("IF(REGEXMATCH($B208,L$1),$D208,"""")"),"")</f>
        <v/>
      </c>
      <c r="M208" s="13" t="str">
        <f>IFERROR(__xludf.DUMMYFUNCTION("IF(REGEXMATCH($B208,M$1),$D208,"""")"),"Demon Dinosaur")</f>
        <v>Demon Dinosaur</v>
      </c>
      <c r="N208" s="13" t="str">
        <f>IFERROR(__xludf.DUMMYFUNCTION("IF(REGEXMATCH($B208,N$1),$D208,"""")"),"")</f>
        <v/>
      </c>
      <c r="O208" s="13" t="str">
        <f>IFERROR(__xludf.DUMMYFUNCTION("IF(REGEXMATCH($B208,O$1),$D208,"""")"),"")</f>
        <v/>
      </c>
      <c r="P208" s="13" t="str">
        <f>IFERROR(__xludf.DUMMYFUNCTION("IF(REGEXMATCH($B208,P$1),$D208,"""")"),"")</f>
        <v/>
      </c>
      <c r="Q208" s="13">
        <f>IFERROR(__xludf.DUMMYFUNCTION("IF($A208="""","""",LEN(REGEXREPLACE($I208,"",\s?"","""")))"),4.0)</f>
        <v>4</v>
      </c>
      <c r="S208" s="13"/>
      <c r="T208" s="13"/>
      <c r="U208" s="13"/>
      <c r="V208" s="13"/>
      <c r="W208" s="13"/>
      <c r="X208" s="13"/>
      <c r="Y208" s="13"/>
      <c r="Z208" s="13"/>
      <c r="AA208" s="13"/>
      <c r="AB208" s="13"/>
    </row>
    <row r="209" hidden="1">
      <c r="A209" s="19" t="s">
        <v>954</v>
      </c>
      <c r="B209" s="80" t="s">
        <v>12</v>
      </c>
      <c r="C209" s="18">
        <v>2.0</v>
      </c>
      <c r="D209" s="18" t="s">
        <v>955</v>
      </c>
      <c r="E209" s="19" t="s">
        <v>956</v>
      </c>
      <c r="F209" s="10" t="str">
        <f>IFERROR(__xludf.DUMMYFUNCTION("IF(REGEXMATCH($E209,""Wizard""),""Wizard "","""")&amp;IF(REGEXMATCH($E209,""Construct""),""Construct "","""")&amp;IF(REGEXMATCH($E209,""Insect""),""Insect "","""")&amp;IF(REGEXMATCH($E209,""Dragon""),""Dragon "","""")&amp;IF(REGEXMATCH($E209,""Human""),""Human "","""")&amp;I"&amp;"F(REGEXMATCH($E209,""Hunter""),""Hunter "","""")&amp;IF(REGEXMATCH($E209,""Animal""),""Animal "","""")&amp;IF(REGEXMATCH($E209,""Undead""),""Undead "","""")&amp;IF(REGEXMATCH($E209,""Plant""),""Plant "","""")&amp;IF(REGEXMATCH($E209,""Dinosaur""),""Dinosaur "","""")&amp;IF(R"&amp;"EGEXMATCH($E209,""Warrior""),""Warrior "","""")&amp;IF(REGEXMATCH($E209,""Spirit""),""Spirit "","""")&amp;IF(REGEXMATCH($E209,""Angel""),""Angel "","""")&amp;IF(REGEXMATCH($E209,""Demon""),""Demon "","""")&amp;IF(REGEXMATCH($E209,""Divine""),""Divine "","""")&amp;IF(REGEXMAT"&amp;"CH($E209,""Elemental""),""Elemental "","""")&amp;IF(REGEXMATCH($E209,""Nature""),""Nature "","""")&amp;IF(REGEXMATCH($E209,""Mortal""),""Mortal "","""")&amp;IF(REGEXMATCH($E209,""Void""),""Void "","""")&amp;IF(REGEXMATCH($E209,""Unearth|Ambush|Ritual|unearth|ambush|ritua"&amp;"l""),""Unearth "","""")&amp;IF(REGEXMATCH($E209,""Unleash|Crystallize|all realms|Crystalborn|crystallize""),""Ramp "","""")&amp;IF(REGEXMATCH($E209,""Demon""),""Demon "","""")&amp;IF(REGEXMATCH($E209,""bury|buries|Bury|Buries|Cleanse|puts a Unit|trail|Trail""),""Cont"&amp;"rol "","""")&amp;IF(REGEXMATCH($E209,""Bounce|Return|Copy|bounce|return|copy""),""Copy "","""")&amp;IF(REGEXMATCH($E209,""conquer|Conquer|leading in lanes|lead by""),""Aggro "","""")&amp;IF(REGEXMATCH($E209,""Ascend|ascend""),""Ascend "","""")&amp;IF(REGEXMATCH($E209,""B"&amp;"ury .+ Crystal|.*crystal.*bury""),""Empty-Crystal"","""")&amp;IF(REGEXMATCH($E209,""Move|move""),""Move"","""")"),"")</f>
        <v/>
      </c>
      <c r="G209" s="20" t="s">
        <v>156</v>
      </c>
      <c r="H209" s="18">
        <v>3.0</v>
      </c>
      <c r="I209" s="18" t="s">
        <v>953</v>
      </c>
      <c r="J209" s="18" t="s">
        <v>33</v>
      </c>
      <c r="L209" s="13" t="str">
        <f>IFERROR(__xludf.DUMMYFUNCTION("IF(REGEXMATCH($B209,L$1),$D209,"""")"),"")</f>
        <v/>
      </c>
      <c r="M209" s="13" t="str">
        <f>IFERROR(__xludf.DUMMYFUNCTION("IF(REGEXMATCH($B209,M$1),$D209,"""")"),"Animal Plant")</f>
        <v>Animal Plant</v>
      </c>
      <c r="N209" s="13" t="str">
        <f>IFERROR(__xludf.DUMMYFUNCTION("IF(REGEXMATCH($B209,N$1),$D209,"""")"),"")</f>
        <v/>
      </c>
      <c r="O209" s="13" t="str">
        <f>IFERROR(__xludf.DUMMYFUNCTION("IF(REGEXMATCH($B209,O$1),$D209,"""")"),"")</f>
        <v/>
      </c>
      <c r="P209" s="13" t="str">
        <f>IFERROR(__xludf.DUMMYFUNCTION("IF(REGEXMATCH($B209,P$1),$D209,"""")"),"")</f>
        <v/>
      </c>
      <c r="Q209" s="13">
        <f>IFERROR(__xludf.DUMMYFUNCTION("IF($A209="""","""",LEN(REGEXREPLACE($I209,"",\s?"","""")))"),4.0)</f>
        <v>4</v>
      </c>
      <c r="S209" s="13"/>
      <c r="T209" s="13"/>
      <c r="U209" s="13"/>
      <c r="V209" s="13"/>
      <c r="W209" s="13"/>
      <c r="X209" s="13"/>
      <c r="Y209" s="13"/>
      <c r="Z209" s="13"/>
      <c r="AA209" s="13"/>
      <c r="AB209" s="13"/>
    </row>
    <row r="210" hidden="1">
      <c r="A210" s="22" t="s">
        <v>957</v>
      </c>
      <c r="B210" s="79" t="s">
        <v>12</v>
      </c>
      <c r="C210" s="11">
        <v>2.0</v>
      </c>
      <c r="D210" s="11" t="s">
        <v>44</v>
      </c>
      <c r="E210" s="10" t="s">
        <v>958</v>
      </c>
      <c r="F210" s="10" t="str">
        <f>IFERROR(__xludf.DUMMYFUNCTION("IF(REGEXMATCH($E210,""Wizard""),""Wizard "","""")&amp;IF(REGEXMATCH($E210,""Construct""),""Construct "","""")&amp;IF(REGEXMATCH($E210,""Insect""),""Insect "","""")&amp;IF(REGEXMATCH($E210,""Dragon""),""Dragon "","""")&amp;IF(REGEXMATCH($E210,""Human""),""Human "","""")&amp;I"&amp;"F(REGEXMATCH($E210,""Hunter""),""Hunter "","""")&amp;IF(REGEXMATCH($E210,""Animal""),""Animal "","""")&amp;IF(REGEXMATCH($E210,""Undead""),""Undead "","""")&amp;IF(REGEXMATCH($E210,""Plant""),""Plant "","""")&amp;IF(REGEXMATCH($E210,""Dinosaur""),""Dinosaur "","""")&amp;IF(R"&amp;"EGEXMATCH($E210,""Warrior""),""Warrior "","""")&amp;IF(REGEXMATCH($E210,""Spirit""),""Spirit "","""")&amp;IF(REGEXMATCH($E210,""Angel""),""Angel "","""")&amp;IF(REGEXMATCH($E210,""Demon""),""Demon "","""")&amp;IF(REGEXMATCH($E210,""Divine""),""Divine "","""")&amp;IF(REGEXMAT"&amp;"CH($E210,""Elemental""),""Elemental "","""")&amp;IF(REGEXMATCH($E210,""Nature""),""Nature "","""")&amp;IF(REGEXMATCH($E210,""Mortal""),""Mortal "","""")&amp;IF(REGEXMATCH($E210,""Void""),""Void "","""")&amp;IF(REGEXMATCH($E210,""Unearth|Ambush|Ritual|unearth|ambush|ritua"&amp;"l""),""Unearth "","""")&amp;IF(REGEXMATCH($E210,""Unleash|Crystallize|all realms|Crystalborn|crystallize""),""Ramp "","""")&amp;IF(REGEXMATCH($E210,""Demon""),""Demon "","""")&amp;IF(REGEXMATCH($E210,""bury|buries|Bury|Buries|Cleanse|puts a Unit|trail|Trail""),""Cont"&amp;"rol "","""")&amp;IF(REGEXMATCH($E210,""Bounce|Return|Copy|bounce|return|copy""),""Copy "","""")&amp;IF(REGEXMATCH($E210,""conquer|Conquer|leading in lanes|lead by""),""Aggro "","""")&amp;IF(REGEXMATCH($E210,""Ascend|ascend""),""Ascend "","""")&amp;IF(REGEXMATCH($E210,""B"&amp;"ury .+ Crystal|.*crystal.*bury""),""Empty-Crystal"","""")&amp;IF(REGEXMATCH($E210,""Move|move""),""Move"","""")"),"Insect ")</f>
        <v>Insect </v>
      </c>
      <c r="G210" s="12" t="s">
        <v>959</v>
      </c>
      <c r="H210" s="11">
        <v>2.0</v>
      </c>
      <c r="I210" s="11" t="s">
        <v>960</v>
      </c>
      <c r="J210" s="11" t="s">
        <v>50</v>
      </c>
      <c r="L210" s="13" t="str">
        <f>IFERROR(__xludf.DUMMYFUNCTION("IF(REGEXMATCH($B210,L$1),$D210,"""")"),"")</f>
        <v/>
      </c>
      <c r="M210" s="13" t="str">
        <f>IFERROR(__xludf.DUMMYFUNCTION("IF(REGEXMATCH($B210,M$1),$D210,"""")"),"Human")</f>
        <v>Human</v>
      </c>
      <c r="N210" s="13" t="str">
        <f>IFERROR(__xludf.DUMMYFUNCTION("IF(REGEXMATCH($B210,N$1),$D210,"""")"),"")</f>
        <v/>
      </c>
      <c r="O210" s="13" t="str">
        <f>IFERROR(__xludf.DUMMYFUNCTION("IF(REGEXMATCH($B210,O$1),$D210,"""")"),"")</f>
        <v/>
      </c>
      <c r="P210" s="13" t="str">
        <f>IFERROR(__xludf.DUMMYFUNCTION("IF(REGEXMATCH($B210,P$1),$D210,"""")"),"")</f>
        <v/>
      </c>
      <c r="Q210" s="13">
        <f>IFERROR(__xludf.DUMMYFUNCTION("IF($A210="""","""",LEN(REGEXREPLACE($I210,"",\s?"","""")))"),3.0)</f>
        <v>3</v>
      </c>
      <c r="S210" s="13"/>
      <c r="T210" s="13"/>
      <c r="U210" s="13"/>
      <c r="V210" s="13"/>
      <c r="W210" s="13"/>
      <c r="X210" s="13"/>
      <c r="Y210" s="13"/>
      <c r="Z210" s="13"/>
      <c r="AA210" s="13"/>
      <c r="AB210" s="13"/>
    </row>
    <row r="211">
      <c r="A211" s="58" t="s">
        <v>961</v>
      </c>
      <c r="B211" s="26" t="s">
        <v>14</v>
      </c>
      <c r="C211" s="60">
        <v>1.0</v>
      </c>
      <c r="D211" s="60" t="s">
        <v>363</v>
      </c>
      <c r="E211" s="81" t="s">
        <v>962</v>
      </c>
      <c r="F211" s="10" t="str">
        <f>IFERROR(__xludf.DUMMYFUNCTION("IF(REGEXMATCH($E211,""Wizard""),""Wizard "","""")&amp;IF(REGEXMATCH($E211,""Construct""),""Construct "","""")&amp;IF(REGEXMATCH($E211,""Insect""),""Insect "","""")&amp;IF(REGEXMATCH($E211,""Dragon""),""Dragon "","""")&amp;IF(REGEXMATCH($E211,""Human""),""Human "","""")&amp;I"&amp;"F(REGEXMATCH($E211,""Hunter""),""Hunter "","""")&amp;IF(REGEXMATCH($E211,""Animal""),""Animal "","""")&amp;IF(REGEXMATCH($E211,""Undead""),""Undead "","""")&amp;IF(REGEXMATCH($E211,""Plant""),""Plant "","""")&amp;IF(REGEXMATCH($E211,""Dinosaur""),""Dinosaur "","""")&amp;IF(R"&amp;"EGEXMATCH($E211,""Warrior""),""Warrior "","""")&amp;IF(REGEXMATCH($E211,""Spirit""),""Spirit "","""")&amp;IF(REGEXMATCH($E211,""Angel""),""Angel "","""")&amp;IF(REGEXMATCH($E211,""Demon""),""Demon "","""")&amp;IF(REGEXMATCH($E211,""Divine""),""Divine "","""")&amp;IF(REGEXMAT"&amp;"CH($E211,""Elemental""),""Elemental "","""")&amp;IF(REGEXMATCH($E211,""Nature""),""Nature "","""")&amp;IF(REGEXMATCH($E211,""Mortal""),""Mortal "","""")&amp;IF(REGEXMATCH($E211,""Void""),""Void "","""")&amp;IF(REGEXMATCH($E211,""Unearth|Ambush|Ritual|unearth|ambush|ritua"&amp;"l""),""Unearth "","""")&amp;IF(REGEXMATCH($E211,""Unleash|Crystallize|all realms|Crystalborn|crystallize""),""Ramp "","""")&amp;IF(REGEXMATCH($E211,""Demon""),""Demon "","""")&amp;IF(REGEXMATCH($E211,""bury|buries|Bury|Buries|Cleanse|puts a Unit|trail|Trail""),""Cont"&amp;"rol "","""")&amp;IF(REGEXMATCH($E211,""Bounce|Return|Copy|bounce|return|copy""),""Copy "","""")&amp;IF(REGEXMATCH($E211,""conquer|Conquer|leading in lanes|lead by""),""Aggro "","""")&amp;IF(REGEXMATCH($E211,""Ascend|ascend""),""Ascend "","""")&amp;IF(REGEXMATCH($E211,""B"&amp;"ury .+ Crystal|.*crystal.*bury""),""Empty-Crystal"","""")&amp;IF(REGEXMATCH($E211,""Move|move""),""Move"","""")"),"Aggro ")</f>
        <v>Aggro </v>
      </c>
      <c r="G211" s="61" t="s">
        <v>494</v>
      </c>
      <c r="H211" s="62">
        <v>7.0</v>
      </c>
      <c r="I211" s="60" t="s">
        <v>963</v>
      </c>
      <c r="J211" s="62" t="s">
        <v>33</v>
      </c>
      <c r="L211" s="13" t="str">
        <f>IFERROR(__xludf.DUMMYFUNCTION("IF(REGEXMATCH($B211,L$1),$D211,"""")"),"")</f>
        <v/>
      </c>
      <c r="M211" s="13" t="str">
        <f>IFERROR(__xludf.DUMMYFUNCTION("IF(REGEXMATCH($B211,M$1),$D211,"""")"),"")</f>
        <v/>
      </c>
      <c r="N211" s="13" t="str">
        <f>IFERROR(__xludf.DUMMYFUNCTION("IF(REGEXMATCH($B211,N$1),$D211,"""")"),"")</f>
        <v/>
      </c>
      <c r="O211" s="13" t="str">
        <f>IFERROR(__xludf.DUMMYFUNCTION("IF(REGEXMATCH($B211,O$1),$D211,"""")"),"Human Warrior")</f>
        <v>Human Warrior</v>
      </c>
      <c r="P211" s="13" t="str">
        <f>IFERROR(__xludf.DUMMYFUNCTION("IF(REGEXMATCH($B211,P$1),$D211,"""")"),"")</f>
        <v/>
      </c>
      <c r="Q211" s="13">
        <f>IFERROR(__xludf.DUMMYFUNCTION("IF($A211="""","""",LEN(REGEXREPLACE($I211,"",\s?"","""")))"),6.0)</f>
        <v>6</v>
      </c>
      <c r="S211" s="13"/>
      <c r="T211" s="13"/>
      <c r="U211" s="13"/>
      <c r="V211" s="13"/>
      <c r="W211" s="13"/>
      <c r="X211" s="13"/>
      <c r="Y211" s="13"/>
      <c r="Z211" s="13"/>
      <c r="AA211" s="13"/>
      <c r="AB211" s="13"/>
    </row>
    <row r="212" hidden="1">
      <c r="A212" s="19" t="s">
        <v>964</v>
      </c>
      <c r="B212" s="80" t="s">
        <v>12</v>
      </c>
      <c r="C212" s="18">
        <v>2.0</v>
      </c>
      <c r="D212" s="18" t="s">
        <v>965</v>
      </c>
      <c r="E212" s="19" t="s">
        <v>966</v>
      </c>
      <c r="F212" s="10" t="str">
        <f>IFERROR(__xludf.DUMMYFUNCTION("IF(REGEXMATCH($E212,""Wizard""),""Wizard "","""")&amp;IF(REGEXMATCH($E212,""Construct""),""Construct "","""")&amp;IF(REGEXMATCH($E212,""Insect""),""Insect "","""")&amp;IF(REGEXMATCH($E212,""Dragon""),""Dragon "","""")&amp;IF(REGEXMATCH($E212,""Human""),""Human "","""")&amp;I"&amp;"F(REGEXMATCH($E212,""Hunter""),""Hunter "","""")&amp;IF(REGEXMATCH($E212,""Animal""),""Animal "","""")&amp;IF(REGEXMATCH($E212,""Undead""),""Undead "","""")&amp;IF(REGEXMATCH($E212,""Plant""),""Plant "","""")&amp;IF(REGEXMATCH($E212,""Dinosaur""),""Dinosaur "","""")&amp;IF(R"&amp;"EGEXMATCH($E212,""Warrior""),""Warrior "","""")&amp;IF(REGEXMATCH($E212,""Spirit""),""Spirit "","""")&amp;IF(REGEXMATCH($E212,""Angel""),""Angel "","""")&amp;IF(REGEXMATCH($E212,""Demon""),""Demon "","""")&amp;IF(REGEXMATCH($E212,""Divine""),""Divine "","""")&amp;IF(REGEXMAT"&amp;"CH($E212,""Elemental""),""Elemental "","""")&amp;IF(REGEXMATCH($E212,""Nature""),""Nature "","""")&amp;IF(REGEXMATCH($E212,""Mortal""),""Mortal "","""")&amp;IF(REGEXMATCH($E212,""Void""),""Void "","""")&amp;IF(REGEXMATCH($E212,""Unearth|Ambush|Ritual|unearth|ambush|ritua"&amp;"l""),""Unearth "","""")&amp;IF(REGEXMATCH($E212,""Unleash|Crystallize|all realms|Crystalborn|crystallize""),""Ramp "","""")&amp;IF(REGEXMATCH($E212,""Demon""),""Demon "","""")&amp;IF(REGEXMATCH($E212,""bury|buries|Bury|Buries|Cleanse|puts a Unit|trail|Trail""),""Cont"&amp;"rol "","""")&amp;IF(REGEXMATCH($E212,""Bounce|Return|Copy|bounce|return|copy""),""Copy "","""")&amp;IF(REGEXMATCH($E212,""conquer|Conquer|leading in lanes|lead by""),""Aggro "","""")&amp;IF(REGEXMATCH($E212,""Ascend|ascend""),""Ascend "","""")&amp;IF(REGEXMATCH($E212,""B"&amp;"ury .+ Crystal|.*crystal.*bury""),""Empty-Crystal"","""")&amp;IF(REGEXMATCH($E212,""Move|move""),""Move"","""")"),"Insect Ramp ")</f>
        <v>Insect Ramp </v>
      </c>
      <c r="G212" s="20" t="s">
        <v>967</v>
      </c>
      <c r="H212" s="18">
        <v>5.0</v>
      </c>
      <c r="I212" s="18" t="s">
        <v>968</v>
      </c>
      <c r="J212" s="18" t="s">
        <v>50</v>
      </c>
      <c r="L212" s="13" t="str">
        <f>IFERROR(__xludf.DUMMYFUNCTION("IF(REGEXMATCH($B212,L$1),$D212,"""")"),"")</f>
        <v/>
      </c>
      <c r="M212" s="13" t="str">
        <f>IFERROR(__xludf.DUMMYFUNCTION("IF(REGEXMATCH($B212,M$1),$D212,"""")"),"Dinosaur Insect")</f>
        <v>Dinosaur Insect</v>
      </c>
      <c r="N212" s="13" t="str">
        <f>IFERROR(__xludf.DUMMYFUNCTION("IF(REGEXMATCH($B212,N$1),$D212,"""")"),"")</f>
        <v/>
      </c>
      <c r="O212" s="13" t="str">
        <f>IFERROR(__xludf.DUMMYFUNCTION("IF(REGEXMATCH($B212,O$1),$D212,"""")"),"")</f>
        <v/>
      </c>
      <c r="P212" s="13" t="str">
        <f>IFERROR(__xludf.DUMMYFUNCTION("IF(REGEXMATCH($B212,P$1),$D212,"""")"),"")</f>
        <v/>
      </c>
      <c r="Q212" s="13">
        <f>IFERROR(__xludf.DUMMYFUNCTION("IF($A212="""","""",LEN(REGEXREPLACE($I212,"",\s?"","""")))"),6.0)</f>
        <v>6</v>
      </c>
      <c r="S212" s="13"/>
      <c r="T212" s="13"/>
      <c r="U212" s="13"/>
      <c r="V212" s="13"/>
      <c r="W212" s="13"/>
      <c r="X212" s="13"/>
      <c r="Y212" s="13"/>
      <c r="Z212" s="13"/>
      <c r="AA212" s="13"/>
      <c r="AB212" s="13"/>
    </row>
    <row r="213">
      <c r="A213" s="19" t="s">
        <v>969</v>
      </c>
      <c r="B213" s="10" t="s">
        <v>14</v>
      </c>
      <c r="C213" s="11">
        <v>1.0</v>
      </c>
      <c r="D213" s="11" t="s">
        <v>363</v>
      </c>
      <c r="E213" s="10" t="s">
        <v>970</v>
      </c>
      <c r="F213" s="10" t="str">
        <f>IFERROR(__xludf.DUMMYFUNCTION("IF(REGEXMATCH($E213,""Wizard""),""Wizard "","""")&amp;IF(REGEXMATCH($E213,""Construct""),""Construct "","""")&amp;IF(REGEXMATCH($E213,""Insect""),""Insect "","""")&amp;IF(REGEXMATCH($E213,""Dragon""),""Dragon "","""")&amp;IF(REGEXMATCH($E213,""Human""),""Human "","""")&amp;I"&amp;"F(REGEXMATCH($E213,""Hunter""),""Hunter "","""")&amp;IF(REGEXMATCH($E213,""Animal""),""Animal "","""")&amp;IF(REGEXMATCH($E213,""Undead""),""Undead "","""")&amp;IF(REGEXMATCH($E213,""Plant""),""Plant "","""")&amp;IF(REGEXMATCH($E213,""Dinosaur""),""Dinosaur "","""")&amp;IF(R"&amp;"EGEXMATCH($E213,""Warrior""),""Warrior "","""")&amp;IF(REGEXMATCH($E213,""Spirit""),""Spirit "","""")&amp;IF(REGEXMATCH($E213,""Angel""),""Angel "","""")&amp;IF(REGEXMATCH($E213,""Demon""),""Demon "","""")&amp;IF(REGEXMATCH($E213,""Divine""),""Divine "","""")&amp;IF(REGEXMAT"&amp;"CH($E213,""Elemental""),""Elemental "","""")&amp;IF(REGEXMATCH($E213,""Nature""),""Nature "","""")&amp;IF(REGEXMATCH($E213,""Mortal""),""Mortal "","""")&amp;IF(REGEXMATCH($E213,""Void""),""Void "","""")&amp;IF(REGEXMATCH($E213,""Unearth|Ambush|Ritual|unearth|ambush|ritua"&amp;"l""),""Unearth "","""")&amp;IF(REGEXMATCH($E213,""Unleash|Crystallize|all realms|Crystalborn|crystallize""),""Ramp "","""")&amp;IF(REGEXMATCH($E213,""Demon""),""Demon "","""")&amp;IF(REGEXMATCH($E213,""bury|buries|Bury|Buries|Cleanse|puts a Unit|trail|Trail""),""Cont"&amp;"rol "","""")&amp;IF(REGEXMATCH($E213,""Bounce|Return|Copy|bounce|return|copy""),""Copy "","""")&amp;IF(REGEXMATCH($E213,""conquer|Conquer|leading in lanes|lead by""),""Aggro "","""")&amp;IF(REGEXMATCH($E213,""Ascend|ascend""),""Ascend "","""")&amp;IF(REGEXMATCH($E213,""B"&amp;"ury .+ Crystal|.*crystal.*bury""),""Empty-Crystal"","""")&amp;IF(REGEXMATCH($E213,""Move|move""),""Move"","""")"),"Mortal ")</f>
        <v>Mortal </v>
      </c>
      <c r="G213" s="12" t="s">
        <v>971</v>
      </c>
      <c r="H213" s="11">
        <v>1.0</v>
      </c>
      <c r="I213" s="11" t="s">
        <v>752</v>
      </c>
      <c r="J213" s="21" t="s">
        <v>42</v>
      </c>
      <c r="L213" s="13" t="str">
        <f>IFERROR(__xludf.DUMMYFUNCTION("IF(REGEXMATCH($B213,L$1),$D213,"""")"),"")</f>
        <v/>
      </c>
      <c r="M213" s="13" t="str">
        <f>IFERROR(__xludf.DUMMYFUNCTION("IF(REGEXMATCH($B213,M$1),$D213,"""")"),"")</f>
        <v/>
      </c>
      <c r="N213" s="13" t="str">
        <f>IFERROR(__xludf.DUMMYFUNCTION("IF(REGEXMATCH($B213,N$1),$D213,"""")"),"")</f>
        <v/>
      </c>
      <c r="O213" s="13" t="str">
        <f>IFERROR(__xludf.DUMMYFUNCTION("IF(REGEXMATCH($B213,O$1),$D213,"""")"),"Human Warrior")</f>
        <v>Human Warrior</v>
      </c>
      <c r="P213" s="13" t="str">
        <f>IFERROR(__xludf.DUMMYFUNCTION("IF(REGEXMATCH($B213,P$1),$D213,"""")"),"")</f>
        <v/>
      </c>
      <c r="Q213" s="13">
        <f>IFERROR(__xludf.DUMMYFUNCTION("IF($A213="""","""",LEN(REGEXREPLACE($I213,"",\s?"","""")))"),2.0)</f>
        <v>2</v>
      </c>
      <c r="S213" s="13"/>
      <c r="T213" s="13"/>
      <c r="U213" s="13"/>
      <c r="V213" s="13"/>
      <c r="W213" s="13"/>
      <c r="X213" s="13"/>
      <c r="Y213" s="13"/>
      <c r="Z213" s="13"/>
      <c r="AA213" s="13"/>
      <c r="AB213" s="13"/>
    </row>
    <row r="214" hidden="1">
      <c r="A214" s="19" t="s">
        <v>972</v>
      </c>
      <c r="B214" s="30" t="s">
        <v>12</v>
      </c>
      <c r="C214" s="18">
        <v>2.0</v>
      </c>
      <c r="D214" s="18" t="s">
        <v>973</v>
      </c>
      <c r="E214" s="19" t="s">
        <v>974</v>
      </c>
      <c r="F214" s="10" t="str">
        <f>IFERROR(__xludf.DUMMYFUNCTION("IF(REGEXMATCH($E214,""Wizard""),""Wizard "","""")&amp;IF(REGEXMATCH($E214,""Construct""),""Construct "","""")&amp;IF(REGEXMATCH($E214,""Insect""),""Insect "","""")&amp;IF(REGEXMATCH($E214,""Dragon""),""Dragon "","""")&amp;IF(REGEXMATCH($E214,""Human""),""Human "","""")&amp;I"&amp;"F(REGEXMATCH($E214,""Hunter""),""Hunter "","""")&amp;IF(REGEXMATCH($E214,""Animal""),""Animal "","""")&amp;IF(REGEXMATCH($E214,""Undead""),""Undead "","""")&amp;IF(REGEXMATCH($E214,""Plant""),""Plant "","""")&amp;IF(REGEXMATCH($E214,""Dinosaur""),""Dinosaur "","""")&amp;IF(R"&amp;"EGEXMATCH($E214,""Warrior""),""Warrior "","""")&amp;IF(REGEXMATCH($E214,""Spirit""),""Spirit "","""")&amp;IF(REGEXMATCH($E214,""Angel""),""Angel "","""")&amp;IF(REGEXMATCH($E214,""Demon""),""Demon "","""")&amp;IF(REGEXMATCH($E214,""Divine""),""Divine "","""")&amp;IF(REGEXMAT"&amp;"CH($E214,""Elemental""),""Elemental "","""")&amp;IF(REGEXMATCH($E214,""Nature""),""Nature "","""")&amp;IF(REGEXMATCH($E214,""Mortal""),""Mortal "","""")&amp;IF(REGEXMATCH($E214,""Void""),""Void "","""")&amp;IF(REGEXMATCH($E214,""Unearth|Ambush|Ritual|unearth|ambush|ritua"&amp;"l""),""Unearth "","""")&amp;IF(REGEXMATCH($E214,""Unleash|Crystallize|all realms|Crystalborn|crystallize""),""Ramp "","""")&amp;IF(REGEXMATCH($E214,""Demon""),""Demon "","""")&amp;IF(REGEXMATCH($E214,""bury|buries|Bury|Buries|Cleanse|puts a Unit|trail|Trail""),""Cont"&amp;"rol "","""")&amp;IF(REGEXMATCH($E214,""Bounce|Return|Copy|bounce|return|copy""),""Copy "","""")&amp;IF(REGEXMATCH($E214,""conquer|Conquer|leading in lanes|lead by""),""Aggro "","""")&amp;IF(REGEXMATCH($E214,""Ascend|ascend""),""Ascend "","""")&amp;IF(REGEXMATCH($E214,""B"&amp;"ury .+ Crystal|.*crystal.*bury""),""Empty-Crystal"","""")&amp;IF(REGEXMATCH($E214,""Move|move""),""Move"","""")"),"Unearth Control Move")</f>
        <v>Unearth Control Move</v>
      </c>
      <c r="G214" s="20" t="s">
        <v>127</v>
      </c>
      <c r="H214" s="18">
        <v>4.0</v>
      </c>
      <c r="I214" s="18" t="s">
        <v>953</v>
      </c>
      <c r="J214" s="18" t="s">
        <v>42</v>
      </c>
      <c r="L214" s="13" t="str">
        <f>IFERROR(__xludf.DUMMYFUNCTION("IF(REGEXMATCH($B214,L$1),$D214,"""")"),"")</f>
        <v/>
      </c>
      <c r="M214" s="13" t="str">
        <f>IFERROR(__xludf.DUMMYFUNCTION("IF(REGEXMATCH($B214,M$1),$D214,"""")"),"Insect Hunter")</f>
        <v>Insect Hunter</v>
      </c>
      <c r="N214" s="13" t="str">
        <f>IFERROR(__xludf.DUMMYFUNCTION("IF(REGEXMATCH($B214,N$1),$D214,"""")"),"")</f>
        <v/>
      </c>
      <c r="O214" s="13" t="str">
        <f>IFERROR(__xludf.DUMMYFUNCTION("IF(REGEXMATCH($B214,O$1),$D214,"""")"),"")</f>
        <v/>
      </c>
      <c r="P214" s="13" t="str">
        <f>IFERROR(__xludf.DUMMYFUNCTION("IF(REGEXMATCH($B214,P$1),$D214,"""")"),"")</f>
        <v/>
      </c>
      <c r="Q214" s="13">
        <f>IFERROR(__xludf.DUMMYFUNCTION("IF($A214="""","""",LEN(REGEXREPLACE($I214,"",\s?"","""")))"),4.0)</f>
        <v>4</v>
      </c>
      <c r="S214" s="13"/>
      <c r="T214" s="13"/>
      <c r="U214" s="13"/>
      <c r="V214" s="13"/>
      <c r="W214" s="13"/>
      <c r="X214" s="13"/>
      <c r="Y214" s="13"/>
      <c r="Z214" s="13"/>
      <c r="AA214" s="13"/>
      <c r="AB214" s="13"/>
    </row>
    <row r="215">
      <c r="A215" s="10" t="s">
        <v>975</v>
      </c>
      <c r="B215" s="10" t="s">
        <v>14</v>
      </c>
      <c r="C215" s="11">
        <v>1.0</v>
      </c>
      <c r="D215" s="11" t="s">
        <v>519</v>
      </c>
      <c r="E215" s="10" t="s">
        <v>976</v>
      </c>
      <c r="F215" s="10" t="str">
        <f>IFERROR(__xludf.DUMMYFUNCTION("IF(REGEXMATCH($E215,""Wizard""),""Wizard "","""")&amp;IF(REGEXMATCH($E215,""Construct""),""Construct "","""")&amp;IF(REGEXMATCH($E215,""Insect""),""Insect "","""")&amp;IF(REGEXMATCH($E215,""Dragon""),""Dragon "","""")&amp;IF(REGEXMATCH($E215,""Human""),""Human "","""")&amp;I"&amp;"F(REGEXMATCH($E215,""Hunter""),""Hunter "","""")&amp;IF(REGEXMATCH($E215,""Animal""),""Animal "","""")&amp;IF(REGEXMATCH($E215,""Undead""),""Undead "","""")&amp;IF(REGEXMATCH($E215,""Plant""),""Plant "","""")&amp;IF(REGEXMATCH($E215,""Dinosaur""),""Dinosaur "","""")&amp;IF(R"&amp;"EGEXMATCH($E215,""Warrior""),""Warrior "","""")&amp;IF(REGEXMATCH($E215,""Spirit""),""Spirit "","""")&amp;IF(REGEXMATCH($E215,""Angel""),""Angel "","""")&amp;IF(REGEXMATCH($E215,""Demon""),""Demon "","""")&amp;IF(REGEXMATCH($E215,""Divine""),""Divine "","""")&amp;IF(REGEXMAT"&amp;"CH($E215,""Elemental""),""Elemental "","""")&amp;IF(REGEXMATCH($E215,""Nature""),""Nature "","""")&amp;IF(REGEXMATCH($E215,""Mortal""),""Mortal "","""")&amp;IF(REGEXMATCH($E215,""Void""),""Void "","""")&amp;IF(REGEXMATCH($E215,""Unearth|Ambush|Ritual|unearth|ambush|ritua"&amp;"l""),""Unearth "","""")&amp;IF(REGEXMATCH($E215,""Unleash|Crystallize|all realms|Crystalborn|crystallize""),""Ramp "","""")&amp;IF(REGEXMATCH($E215,""Demon""),""Demon "","""")&amp;IF(REGEXMATCH($E215,""bury|buries|Bury|Buries|Cleanse|puts a Unit|trail|Trail""),""Cont"&amp;"rol "","""")&amp;IF(REGEXMATCH($E215,""Bounce|Return|Copy|bounce|return|copy""),""Copy "","""")&amp;IF(REGEXMATCH($E215,""conquer|Conquer|leading in lanes|lead by""),""Aggro "","""")&amp;IF(REGEXMATCH($E215,""Ascend|ascend""),""Ascend "","""")&amp;IF(REGEXMATCH($E215,""B"&amp;"ury .+ Crystal|.*crystal.*bury""),""Empty-Crystal"","""")&amp;IF(REGEXMATCH($E215,""Move|move""),""Move"","""")"),"Mortal ")</f>
        <v>Mortal </v>
      </c>
      <c r="G215" s="12" t="s">
        <v>977</v>
      </c>
      <c r="H215" s="11">
        <v>1.0</v>
      </c>
      <c r="I215" s="11" t="s">
        <v>752</v>
      </c>
      <c r="J215" s="11" t="s">
        <v>42</v>
      </c>
      <c r="L215" s="13" t="str">
        <f>IFERROR(__xludf.DUMMYFUNCTION("IF(REGEXMATCH($B215,L$1),$D215,"""")"),"")</f>
        <v/>
      </c>
      <c r="M215" s="13" t="str">
        <f>IFERROR(__xludf.DUMMYFUNCTION("IF(REGEXMATCH($B215,M$1),$D215,"""")"),"")</f>
        <v/>
      </c>
      <c r="N215" s="13" t="str">
        <f>IFERROR(__xludf.DUMMYFUNCTION("IF(REGEXMATCH($B215,N$1),$D215,"""")"),"")</f>
        <v/>
      </c>
      <c r="O215" s="13" t="str">
        <f>IFERROR(__xludf.DUMMYFUNCTION("IF(REGEXMATCH($B215,O$1),$D215,"""")"),"Insect")</f>
        <v>Insect</v>
      </c>
      <c r="P215" s="13" t="str">
        <f>IFERROR(__xludf.DUMMYFUNCTION("IF(REGEXMATCH($B215,P$1),$D215,"""")"),"")</f>
        <v/>
      </c>
      <c r="Q215" s="13">
        <f>IFERROR(__xludf.DUMMYFUNCTION("IF($A215="""","""",LEN(REGEXREPLACE($I215,"",\s?"","""")))"),2.0)</f>
        <v>2</v>
      </c>
      <c r="S215" s="13"/>
      <c r="T215" s="13"/>
      <c r="U215" s="13"/>
      <c r="V215" s="13"/>
      <c r="W215" s="13"/>
      <c r="X215" s="13"/>
      <c r="Y215" s="13"/>
      <c r="Z215" s="13"/>
      <c r="AA215" s="13"/>
      <c r="AB215" s="13"/>
    </row>
    <row r="216">
      <c r="A216" s="45" t="s">
        <v>978</v>
      </c>
      <c r="B216" s="10" t="s">
        <v>14</v>
      </c>
      <c r="C216" s="11">
        <v>1.0</v>
      </c>
      <c r="D216" s="52" t="s">
        <v>477</v>
      </c>
      <c r="E216" s="19" t="s">
        <v>979</v>
      </c>
      <c r="F216" s="10" t="str">
        <f>IFERROR(__xludf.DUMMYFUNCTION("IF(REGEXMATCH($E216,""Wizard""),""Wizard "","""")&amp;IF(REGEXMATCH($E216,""Construct""),""Construct "","""")&amp;IF(REGEXMATCH($E216,""Insect""),""Insect "","""")&amp;IF(REGEXMATCH($E216,""Dragon""),""Dragon "","""")&amp;IF(REGEXMATCH($E216,""Human""),""Human "","""")&amp;I"&amp;"F(REGEXMATCH($E216,""Hunter""),""Hunter "","""")&amp;IF(REGEXMATCH($E216,""Animal""),""Animal "","""")&amp;IF(REGEXMATCH($E216,""Undead""),""Undead "","""")&amp;IF(REGEXMATCH($E216,""Plant""),""Plant "","""")&amp;IF(REGEXMATCH($E216,""Dinosaur""),""Dinosaur "","""")&amp;IF(R"&amp;"EGEXMATCH($E216,""Warrior""),""Warrior "","""")&amp;IF(REGEXMATCH($E216,""Spirit""),""Spirit "","""")&amp;IF(REGEXMATCH($E216,""Angel""),""Angel "","""")&amp;IF(REGEXMATCH($E216,""Demon""),""Demon "","""")&amp;IF(REGEXMATCH($E216,""Divine""),""Divine "","""")&amp;IF(REGEXMAT"&amp;"CH($E216,""Elemental""),""Elemental "","""")&amp;IF(REGEXMATCH($E216,""Nature""),""Nature "","""")&amp;IF(REGEXMATCH($E216,""Mortal""),""Mortal "","""")&amp;IF(REGEXMATCH($E216,""Void""),""Void "","""")&amp;IF(REGEXMATCH($E216,""Unearth|Ambush|Ritual|unearth|ambush|ritua"&amp;"l""),""Unearth "","""")&amp;IF(REGEXMATCH($E216,""Unleash|Crystallize|all realms|Crystalborn|crystallize""),""Ramp "","""")&amp;IF(REGEXMATCH($E216,""Demon""),""Demon "","""")&amp;IF(REGEXMATCH($E216,""bury|buries|Bury|Buries|Cleanse|puts a Unit|trail|Trail""),""Cont"&amp;"rol "","""")&amp;IF(REGEXMATCH($E216,""Bounce|Return|Copy|bounce|return|copy""),""Copy "","""")&amp;IF(REGEXMATCH($E216,""conquer|Conquer|leading in lanes|lead by""),""Aggro "","""")&amp;IF(REGEXMATCH($E216,""Ascend|ascend""),""Ascend "","""")&amp;IF(REGEXMATCH($E216,""B"&amp;"ury .+ Crystal|.*crystal.*bury""),""Empty-Crystal"","""")&amp;IF(REGEXMATCH($E216,""Move|move""),""Move"","""")"),"Wizard ")</f>
        <v>Wizard </v>
      </c>
      <c r="G216" s="82" t="s">
        <v>980</v>
      </c>
      <c r="H216" s="18">
        <v>3.0</v>
      </c>
      <c r="I216" s="18" t="s">
        <v>738</v>
      </c>
      <c r="J216" s="11" t="s">
        <v>42</v>
      </c>
      <c r="L216" s="13" t="str">
        <f>IFERROR(__xludf.DUMMYFUNCTION("IF(REGEXMATCH($B216,L$1),$D216,"""")"),"")</f>
        <v/>
      </c>
      <c r="M216" s="13" t="str">
        <f>IFERROR(__xludf.DUMMYFUNCTION("IF(REGEXMATCH($B216,M$1),$D216,"""")"),"")</f>
        <v/>
      </c>
      <c r="N216" s="13" t="str">
        <f>IFERROR(__xludf.DUMMYFUNCTION("IF(REGEXMATCH($B216,N$1),$D216,"""")"),"")</f>
        <v/>
      </c>
      <c r="O216" s="13" t="str">
        <f>IFERROR(__xludf.DUMMYFUNCTION("IF(REGEXMATCH($B216,O$1),$D216,"""")"),"Plant Wizard")</f>
        <v>Plant Wizard</v>
      </c>
      <c r="P216" s="13" t="str">
        <f>IFERROR(__xludf.DUMMYFUNCTION("IF(REGEXMATCH($B216,P$1),$D216,"""")"),"")</f>
        <v/>
      </c>
      <c r="Q216" s="13">
        <f>IFERROR(__xludf.DUMMYFUNCTION("IF($A216="""","""",LEN(REGEXREPLACE($I216,"",\s?"","""")))"),3.0)</f>
        <v>3</v>
      </c>
      <c r="S216" s="13"/>
      <c r="T216" s="13"/>
      <c r="U216" s="13"/>
      <c r="V216" s="13"/>
      <c r="W216" s="13"/>
      <c r="X216" s="13"/>
      <c r="Y216" s="13"/>
      <c r="Z216" s="13"/>
      <c r="AA216" s="13"/>
      <c r="AB216" s="13"/>
    </row>
    <row r="217">
      <c r="A217" s="22" t="s">
        <v>981</v>
      </c>
      <c r="B217" s="10" t="s">
        <v>869</v>
      </c>
      <c r="C217" s="11">
        <v>1.0</v>
      </c>
      <c r="D217" s="11" t="s">
        <v>982</v>
      </c>
      <c r="E217" s="10" t="s">
        <v>983</v>
      </c>
      <c r="F217" s="10" t="str">
        <f>IFERROR(__xludf.DUMMYFUNCTION("IF(REGEXMATCH($E217,""Wizard""),""Wizard "","""")&amp;IF(REGEXMATCH($E217,""Construct""),""Construct "","""")&amp;IF(REGEXMATCH($E217,""Insect""),""Insect "","""")&amp;IF(REGEXMATCH($E217,""Dragon""),""Dragon "","""")&amp;IF(REGEXMATCH($E217,""Human""),""Human "","""")&amp;I"&amp;"F(REGEXMATCH($E217,""Hunter""),""Hunter "","""")&amp;IF(REGEXMATCH($E217,""Animal""),""Animal "","""")&amp;IF(REGEXMATCH($E217,""Undead""),""Undead "","""")&amp;IF(REGEXMATCH($E217,""Plant""),""Plant "","""")&amp;IF(REGEXMATCH($E217,""Dinosaur""),""Dinosaur "","""")&amp;IF(R"&amp;"EGEXMATCH($E217,""Warrior""),""Warrior "","""")&amp;IF(REGEXMATCH($E217,""Spirit""),""Spirit "","""")&amp;IF(REGEXMATCH($E217,""Angel""),""Angel "","""")&amp;IF(REGEXMATCH($E217,""Demon""),""Demon "","""")&amp;IF(REGEXMATCH($E217,""Divine""),""Divine "","""")&amp;IF(REGEXMAT"&amp;"CH($E217,""Elemental""),""Elemental "","""")&amp;IF(REGEXMATCH($E217,""Nature""),""Nature "","""")&amp;IF(REGEXMATCH($E217,""Mortal""),""Mortal "","""")&amp;IF(REGEXMATCH($E217,""Void""),""Void "","""")&amp;IF(REGEXMATCH($E217,""Unearth|Ambush|Ritual|unearth|ambush|ritua"&amp;"l""),""Unearth "","""")&amp;IF(REGEXMATCH($E217,""Unleash|Crystallize|all realms|Crystalborn|crystallize""),""Ramp "","""")&amp;IF(REGEXMATCH($E217,""Demon""),""Demon "","""")&amp;IF(REGEXMATCH($E217,""bury|buries|Bury|Buries|Cleanse|puts a Unit|trail|Trail""),""Cont"&amp;"rol "","""")&amp;IF(REGEXMATCH($E217,""Bounce|Return|Copy|bounce|return|copy""),""Copy "","""")&amp;IF(REGEXMATCH($E217,""conquer|Conquer|leading in lanes|lead by""),""Aggro "","""")&amp;IF(REGEXMATCH($E217,""Ascend|ascend""),""Ascend "","""")&amp;IF(REGEXMATCH($E217,""B"&amp;"ury .+ Crystal|.*crystal.*bury""),""Empty-Crystal"","""")&amp;IF(REGEXMATCH($E217,""Move|move""),""Move"","""")"),"")</f>
        <v/>
      </c>
      <c r="G217" s="12" t="s">
        <v>984</v>
      </c>
      <c r="H217" s="11">
        <v>3.0</v>
      </c>
      <c r="I217" s="11" t="s">
        <v>985</v>
      </c>
      <c r="J217" s="11" t="s">
        <v>33</v>
      </c>
      <c r="L217" s="13" t="str">
        <f>IFERROR(__xludf.DUMMYFUNCTION("IF(REGEXMATCH($B217,L$1),$D217,"""")"),"")</f>
        <v/>
      </c>
      <c r="M217" s="13" t="str">
        <f>IFERROR(__xludf.DUMMYFUNCTION("IF(REGEXMATCH($B217,M$1),$D217,"""")"),"Animal Dragon")</f>
        <v>Animal Dragon</v>
      </c>
      <c r="N217" s="13" t="str">
        <f>IFERROR(__xludf.DUMMYFUNCTION("IF(REGEXMATCH($B217,N$1),$D217,"""")"),"")</f>
        <v/>
      </c>
      <c r="O217" s="13" t="str">
        <f>IFERROR(__xludf.DUMMYFUNCTION("IF(REGEXMATCH($B217,O$1),$D217,"""")"),"Animal Dragon")</f>
        <v>Animal Dragon</v>
      </c>
      <c r="P217" s="13" t="str">
        <f>IFERROR(__xludf.DUMMYFUNCTION("IF(REGEXMATCH($B217,P$1),$D217,"""")"),"")</f>
        <v/>
      </c>
      <c r="Q217" s="13">
        <f>IFERROR(__xludf.DUMMYFUNCTION("IF($A217="""","""",LEN(REGEXREPLACE($I217,"",\s?"","""")))"),7.0)</f>
        <v>7</v>
      </c>
      <c r="S217" s="13"/>
      <c r="T217" s="13"/>
      <c r="U217" s="13"/>
      <c r="V217" s="13"/>
      <c r="W217" s="13"/>
      <c r="X217" s="13"/>
      <c r="Y217" s="13"/>
      <c r="Z217" s="13"/>
      <c r="AA217" s="13"/>
      <c r="AB217" s="13"/>
    </row>
    <row r="218">
      <c r="A218" s="10" t="s">
        <v>986</v>
      </c>
      <c r="B218" s="10" t="s">
        <v>869</v>
      </c>
      <c r="C218" s="11">
        <v>1.0</v>
      </c>
      <c r="D218" s="11" t="s">
        <v>724</v>
      </c>
      <c r="E218" s="10" t="s">
        <v>987</v>
      </c>
      <c r="F218" s="10" t="str">
        <f>IFERROR(__xludf.DUMMYFUNCTION("IF(REGEXMATCH($E218,""Wizard""),""Wizard "","""")&amp;IF(REGEXMATCH($E218,""Construct""),""Construct "","""")&amp;IF(REGEXMATCH($E218,""Insect""),""Insect "","""")&amp;IF(REGEXMATCH($E218,""Dragon""),""Dragon "","""")&amp;IF(REGEXMATCH($E218,""Human""),""Human "","""")&amp;I"&amp;"F(REGEXMATCH($E218,""Hunter""),""Hunter "","""")&amp;IF(REGEXMATCH($E218,""Animal""),""Animal "","""")&amp;IF(REGEXMATCH($E218,""Undead""),""Undead "","""")&amp;IF(REGEXMATCH($E218,""Plant""),""Plant "","""")&amp;IF(REGEXMATCH($E218,""Dinosaur""),""Dinosaur "","""")&amp;IF(R"&amp;"EGEXMATCH($E218,""Warrior""),""Warrior "","""")&amp;IF(REGEXMATCH($E218,""Spirit""),""Spirit "","""")&amp;IF(REGEXMATCH($E218,""Angel""),""Angel "","""")&amp;IF(REGEXMATCH($E218,""Demon""),""Demon "","""")&amp;IF(REGEXMATCH($E218,""Divine""),""Divine "","""")&amp;IF(REGEXMAT"&amp;"CH($E218,""Elemental""),""Elemental "","""")&amp;IF(REGEXMATCH($E218,""Nature""),""Nature "","""")&amp;IF(REGEXMATCH($E218,""Mortal""),""Mortal "","""")&amp;IF(REGEXMATCH($E218,""Void""),""Void "","""")&amp;IF(REGEXMATCH($E218,""Unearth|Ambush|Ritual|unearth|ambush|ritua"&amp;"l""),""Unearth "","""")&amp;IF(REGEXMATCH($E218,""Unleash|Crystallize|all realms|Crystalborn|crystallize""),""Ramp "","""")&amp;IF(REGEXMATCH($E218,""Demon""),""Demon "","""")&amp;IF(REGEXMATCH($E218,""bury|buries|Bury|Buries|Cleanse|puts a Unit|trail|Trail""),""Cont"&amp;"rol "","""")&amp;IF(REGEXMATCH($E218,""Bounce|Return|Copy|bounce|return|copy""),""Copy "","""")&amp;IF(REGEXMATCH($E218,""conquer|Conquer|leading in lanes|lead by""),""Aggro "","""")&amp;IF(REGEXMATCH($E218,""Ascend|ascend""),""Ascend "","""")&amp;IF(REGEXMATCH($E218,""B"&amp;"ury .+ Crystal|.*crystal.*bury""),""Empty-Crystal"","""")&amp;IF(REGEXMATCH($E218,""Move|move""),""Move"","""")"),"Mortal ")</f>
        <v>Mortal </v>
      </c>
      <c r="G218" s="12" t="s">
        <v>988</v>
      </c>
      <c r="H218" s="11">
        <v>3.0</v>
      </c>
      <c r="I218" s="11" t="s">
        <v>989</v>
      </c>
      <c r="J218" s="11" t="s">
        <v>50</v>
      </c>
      <c r="L218" s="13" t="str">
        <f>IFERROR(__xludf.DUMMYFUNCTION("IF(REGEXMATCH($B218,L$1),$D218,"""")"),"")</f>
        <v/>
      </c>
      <c r="M218" s="13" t="str">
        <f>IFERROR(__xludf.DUMMYFUNCTION("IF(REGEXMATCH($B218,M$1),$D218,"""")"),"Animal Warrior")</f>
        <v>Animal Warrior</v>
      </c>
      <c r="N218" s="13" t="str">
        <f>IFERROR(__xludf.DUMMYFUNCTION("IF(REGEXMATCH($B218,N$1),$D218,"""")"),"")</f>
        <v/>
      </c>
      <c r="O218" s="13" t="str">
        <f>IFERROR(__xludf.DUMMYFUNCTION("IF(REGEXMATCH($B218,O$1),$D218,"""")"),"Animal Warrior")</f>
        <v>Animal Warrior</v>
      </c>
      <c r="P218" s="13" t="str">
        <f>IFERROR(__xludf.DUMMYFUNCTION("IF(REGEXMATCH($B218,P$1),$D218,"""")"),"")</f>
        <v/>
      </c>
      <c r="Q218" s="13">
        <f>IFERROR(__xludf.DUMMYFUNCTION("IF($A218="""","""",LEN(REGEXREPLACE($I218,"",\s?"","""")))"),4.0)</f>
        <v>4</v>
      </c>
      <c r="S218" s="13"/>
      <c r="T218" s="13"/>
      <c r="U218" s="13"/>
      <c r="V218" s="13"/>
      <c r="W218" s="13"/>
      <c r="X218" s="13"/>
      <c r="Y218" s="13"/>
      <c r="Z218" s="13"/>
      <c r="AA218" s="13"/>
      <c r="AB218" s="13"/>
    </row>
    <row r="219" hidden="1">
      <c r="A219" s="19" t="s">
        <v>990</v>
      </c>
      <c r="B219" s="80" t="s">
        <v>12</v>
      </c>
      <c r="C219" s="18">
        <v>2.0</v>
      </c>
      <c r="D219" s="18" t="s">
        <v>991</v>
      </c>
      <c r="E219" s="19" t="s">
        <v>992</v>
      </c>
      <c r="F219" s="10" t="str">
        <f>IFERROR(__xludf.DUMMYFUNCTION("IF(REGEXMATCH($E219,""Wizard""),""Wizard "","""")&amp;IF(REGEXMATCH($E219,""Construct""),""Construct "","""")&amp;IF(REGEXMATCH($E219,""Insect""),""Insect "","""")&amp;IF(REGEXMATCH($E219,""Dragon""),""Dragon "","""")&amp;IF(REGEXMATCH($E219,""Human""),""Human "","""")&amp;I"&amp;"F(REGEXMATCH($E219,""Hunter""),""Hunter "","""")&amp;IF(REGEXMATCH($E219,""Animal""),""Animal "","""")&amp;IF(REGEXMATCH($E219,""Undead""),""Undead "","""")&amp;IF(REGEXMATCH($E219,""Plant""),""Plant "","""")&amp;IF(REGEXMATCH($E219,""Dinosaur""),""Dinosaur "","""")&amp;IF(R"&amp;"EGEXMATCH($E219,""Warrior""),""Warrior "","""")&amp;IF(REGEXMATCH($E219,""Spirit""),""Spirit "","""")&amp;IF(REGEXMATCH($E219,""Angel""),""Angel "","""")&amp;IF(REGEXMATCH($E219,""Demon""),""Demon "","""")&amp;IF(REGEXMATCH($E219,""Divine""),""Divine "","""")&amp;IF(REGEXMAT"&amp;"CH($E219,""Elemental""),""Elemental "","""")&amp;IF(REGEXMATCH($E219,""Nature""),""Nature "","""")&amp;IF(REGEXMATCH($E219,""Mortal""),""Mortal "","""")&amp;IF(REGEXMATCH($E219,""Void""),""Void "","""")&amp;IF(REGEXMATCH($E219,""Unearth|Ambush|Ritual|unearth|ambush|ritua"&amp;"l""),""Unearth "","""")&amp;IF(REGEXMATCH($E219,""Unleash|Crystallize|all realms|Crystalborn|crystallize""),""Ramp "","""")&amp;IF(REGEXMATCH($E219,""Demon""),""Demon "","""")&amp;IF(REGEXMATCH($E219,""bury|buries|Bury|Buries|Cleanse|puts a Unit|trail|Trail""),""Cont"&amp;"rol "","""")&amp;IF(REGEXMATCH($E219,""Bounce|Return|Copy|bounce|return|copy""),""Copy "","""")&amp;IF(REGEXMATCH($E219,""conquer|Conquer|leading in lanes|lead by""),""Aggro "","""")&amp;IF(REGEXMATCH($E219,""Ascend|ascend""),""Ascend "","""")&amp;IF(REGEXMATCH($E219,""B"&amp;"ury .+ Crystal|.*crystal.*bury""),""Empty-Crystal"","""")&amp;IF(REGEXMATCH($E219,""Move|move""),""Move"","""")"),"Insect Plant Unearth ")</f>
        <v>Insect Plant Unearth </v>
      </c>
      <c r="G219" s="56"/>
      <c r="H219" s="18">
        <v>4.0</v>
      </c>
      <c r="I219" s="18" t="s">
        <v>993</v>
      </c>
      <c r="J219" s="18" t="s">
        <v>42</v>
      </c>
      <c r="L219" s="13" t="str">
        <f>IFERROR(__xludf.DUMMYFUNCTION("IF(REGEXMATCH($B219,L$1),$D219,"""")"),"")</f>
        <v/>
      </c>
      <c r="M219" s="13" t="str">
        <f>IFERROR(__xludf.DUMMYFUNCTION("IF(REGEXMATCH($B219,M$1),$D219,"""")"),"Insect Plant")</f>
        <v>Insect Plant</v>
      </c>
      <c r="N219" s="13" t="str">
        <f>IFERROR(__xludf.DUMMYFUNCTION("IF(REGEXMATCH($B219,N$1),$D219,"""")"),"")</f>
        <v/>
      </c>
      <c r="O219" s="13" t="str">
        <f>IFERROR(__xludf.DUMMYFUNCTION("IF(REGEXMATCH($B219,O$1),$D219,"""")"),"")</f>
        <v/>
      </c>
      <c r="P219" s="13" t="str">
        <f>IFERROR(__xludf.DUMMYFUNCTION("IF(REGEXMATCH($B219,P$1),$D219,"""")"),"")</f>
        <v/>
      </c>
      <c r="Q219" s="13">
        <f>IFERROR(__xludf.DUMMYFUNCTION("IF($A219="""","""",LEN(REGEXREPLACE($I219,"",\s?"","""")))"),4.0)</f>
        <v>4</v>
      </c>
      <c r="S219" s="13"/>
      <c r="T219" s="13"/>
      <c r="U219" s="13"/>
      <c r="V219" s="13"/>
      <c r="W219" s="13"/>
      <c r="X219" s="13"/>
      <c r="Y219" s="13"/>
      <c r="Z219" s="13"/>
      <c r="AA219" s="13"/>
      <c r="AB219" s="13"/>
    </row>
    <row r="220" hidden="1">
      <c r="A220" s="29" t="s">
        <v>994</v>
      </c>
      <c r="B220" s="79" t="s">
        <v>12</v>
      </c>
      <c r="C220" s="11">
        <v>2.0</v>
      </c>
      <c r="D220" s="11" t="s">
        <v>672</v>
      </c>
      <c r="E220" s="45" t="s">
        <v>995</v>
      </c>
      <c r="F220" s="10" t="str">
        <f>IFERROR(__xludf.DUMMYFUNCTION("IF(REGEXMATCH($E220,""Wizard""),""Wizard "","""")&amp;IF(REGEXMATCH($E220,""Construct""),""Construct "","""")&amp;IF(REGEXMATCH($E220,""Insect""),""Insect "","""")&amp;IF(REGEXMATCH($E220,""Dragon""),""Dragon "","""")&amp;IF(REGEXMATCH($E220,""Human""),""Human "","""")&amp;I"&amp;"F(REGEXMATCH($E220,""Hunter""),""Hunter "","""")&amp;IF(REGEXMATCH($E220,""Animal""),""Animal "","""")&amp;IF(REGEXMATCH($E220,""Undead""),""Undead "","""")&amp;IF(REGEXMATCH($E220,""Plant""),""Plant "","""")&amp;IF(REGEXMATCH($E220,""Dinosaur""),""Dinosaur "","""")&amp;IF(R"&amp;"EGEXMATCH($E220,""Warrior""),""Warrior "","""")&amp;IF(REGEXMATCH($E220,""Spirit""),""Spirit "","""")&amp;IF(REGEXMATCH($E220,""Angel""),""Angel "","""")&amp;IF(REGEXMATCH($E220,""Demon""),""Demon "","""")&amp;IF(REGEXMATCH($E220,""Divine""),""Divine "","""")&amp;IF(REGEXMAT"&amp;"CH($E220,""Elemental""),""Elemental "","""")&amp;IF(REGEXMATCH($E220,""Nature""),""Nature "","""")&amp;IF(REGEXMATCH($E220,""Mortal""),""Mortal "","""")&amp;IF(REGEXMATCH($E220,""Void""),""Void "","""")&amp;IF(REGEXMATCH($E220,""Unearth|Ambush|Ritual|unearth|ambush|ritua"&amp;"l""),""Unearth "","""")&amp;IF(REGEXMATCH($E220,""Unleash|Crystallize|all realms|Crystalborn|crystallize""),""Ramp "","""")&amp;IF(REGEXMATCH($E220,""Demon""),""Demon "","""")&amp;IF(REGEXMATCH($E220,""bury|buries|Bury|Buries|Cleanse|puts a Unit|trail|Trail""),""Cont"&amp;"rol "","""")&amp;IF(REGEXMATCH($E220,""Bounce|Return|Copy|bounce|return|copy""),""Copy "","""")&amp;IF(REGEXMATCH($E220,""conquer|Conquer|leading in lanes|lead by""),""Aggro "","""")&amp;IF(REGEXMATCH($E220,""Ascend|ascend""),""Ascend "","""")&amp;IF(REGEXMATCH($E220,""B"&amp;"ury .+ Crystal|.*crystal.*bury""),""Empty-Crystal"","""")&amp;IF(REGEXMATCH($E220,""Move|move""),""Move"","""")"),"Plant Ascend ")</f>
        <v>Plant Ascend </v>
      </c>
      <c r="G220" s="12" t="s">
        <v>40</v>
      </c>
      <c r="H220" s="11">
        <v>2.0</v>
      </c>
      <c r="I220" s="11" t="s">
        <v>949</v>
      </c>
      <c r="J220" s="21" t="s">
        <v>42</v>
      </c>
      <c r="L220" s="13" t="str">
        <f>IFERROR(__xludf.DUMMYFUNCTION("IF(REGEXMATCH($B220,L$1),$D220,"""")"),"")</f>
        <v/>
      </c>
      <c r="M220" s="13" t="str">
        <f>IFERROR(__xludf.DUMMYFUNCTION("IF(REGEXMATCH($B220,M$1),$D220,"""")"),"Human Plant")</f>
        <v>Human Plant</v>
      </c>
      <c r="N220" s="13" t="str">
        <f>IFERROR(__xludf.DUMMYFUNCTION("IF(REGEXMATCH($B220,N$1),$D220,"""")"),"")</f>
        <v/>
      </c>
      <c r="O220" s="13" t="str">
        <f>IFERROR(__xludf.DUMMYFUNCTION("IF(REGEXMATCH($B220,O$1),$D220,"""")"),"")</f>
        <v/>
      </c>
      <c r="P220" s="13" t="str">
        <f>IFERROR(__xludf.DUMMYFUNCTION("IF(REGEXMATCH($B220,P$1),$D220,"""")"),"")</f>
        <v/>
      </c>
      <c r="Q220" s="13">
        <f>IFERROR(__xludf.DUMMYFUNCTION("IF($A220="""","""",LEN(REGEXREPLACE($I220,"",\s?"","""")))"),2.0)</f>
        <v>2</v>
      </c>
      <c r="S220" s="13"/>
      <c r="T220" s="13"/>
      <c r="U220" s="13"/>
      <c r="V220" s="13"/>
      <c r="W220" s="13"/>
      <c r="X220" s="13"/>
      <c r="Y220" s="13"/>
      <c r="Z220" s="13"/>
      <c r="AA220" s="13"/>
      <c r="AB220" s="13"/>
    </row>
    <row r="221" hidden="1">
      <c r="A221" s="22" t="s">
        <v>996</v>
      </c>
      <c r="B221" s="79" t="s">
        <v>12</v>
      </c>
      <c r="C221" s="11">
        <v>0.0</v>
      </c>
      <c r="D221" s="11" t="s">
        <v>997</v>
      </c>
      <c r="E221" s="27" t="s">
        <v>998</v>
      </c>
      <c r="F221" s="10" t="str">
        <f>IFERROR(__xludf.DUMMYFUNCTION("IF(REGEXMATCH($E221,""Wizard""),""Wizard "","""")&amp;IF(REGEXMATCH($E221,""Construct""),""Construct "","""")&amp;IF(REGEXMATCH($E221,""Insect""),""Insect "","""")&amp;IF(REGEXMATCH($E221,""Dragon""),""Dragon "","""")&amp;IF(REGEXMATCH($E221,""Human""),""Human "","""")&amp;I"&amp;"F(REGEXMATCH($E221,""Hunter""),""Hunter "","""")&amp;IF(REGEXMATCH($E221,""Animal""),""Animal "","""")&amp;IF(REGEXMATCH($E221,""Undead""),""Undead "","""")&amp;IF(REGEXMATCH($E221,""Plant""),""Plant "","""")&amp;IF(REGEXMATCH($E221,""Dinosaur""),""Dinosaur "","""")&amp;IF(R"&amp;"EGEXMATCH($E221,""Warrior""),""Warrior "","""")&amp;IF(REGEXMATCH($E221,""Spirit""),""Spirit "","""")&amp;IF(REGEXMATCH($E221,""Angel""),""Angel "","""")&amp;IF(REGEXMATCH($E221,""Demon""),""Demon "","""")&amp;IF(REGEXMATCH($E221,""Divine""),""Divine "","""")&amp;IF(REGEXMAT"&amp;"CH($E221,""Elemental""),""Elemental "","""")&amp;IF(REGEXMATCH($E221,""Nature""),""Nature "","""")&amp;IF(REGEXMATCH($E221,""Mortal""),""Mortal "","""")&amp;IF(REGEXMATCH($E221,""Void""),""Void "","""")&amp;IF(REGEXMATCH($E221,""Unearth|Ambush|Ritual|unearth|ambush|ritua"&amp;"l""),""Unearth "","""")&amp;IF(REGEXMATCH($E221,""Unleash|Crystallize|all realms|Crystalborn|crystallize""),""Ramp "","""")&amp;IF(REGEXMATCH($E221,""Demon""),""Demon "","""")&amp;IF(REGEXMATCH($E221,""bury|buries|Bury|Buries|Cleanse|puts a Unit|trail|Trail""),""Cont"&amp;"rol "","""")&amp;IF(REGEXMATCH($E221,""Bounce|Return|Copy|bounce|return|copy""),""Copy "","""")&amp;IF(REGEXMATCH($E221,""conquer|Conquer|leading in lanes|lead by""),""Aggro "","""")&amp;IF(REGEXMATCH($E221,""Ascend|ascend""),""Ascend "","""")&amp;IF(REGEXMATCH($E221,""B"&amp;"ury .+ Crystal|.*crystal.*bury""),""Empty-Crystal"","""")&amp;IF(REGEXMATCH($E221,""Move|move""),""Move"","""")"),"Ramp ")</f>
        <v>Ramp </v>
      </c>
      <c r="G221" s="12" t="s">
        <v>999</v>
      </c>
      <c r="H221" s="11">
        <v>4.0</v>
      </c>
      <c r="I221" s="11" t="s">
        <v>953</v>
      </c>
      <c r="J221" s="11" t="s">
        <v>50</v>
      </c>
      <c r="L221" s="13" t="str">
        <f>IFERROR(__xludf.DUMMYFUNCTION("IF(REGEXMATCH($B221,L$1),$D221,"""")"),"")</f>
        <v/>
      </c>
      <c r="M221" s="13" t="str">
        <f>IFERROR(__xludf.DUMMYFUNCTION("IF(REGEXMATCH($B221,M$1),$D221,"""")"),"Spirit Construct")</f>
        <v>Spirit Construct</v>
      </c>
      <c r="N221" s="13" t="str">
        <f>IFERROR(__xludf.DUMMYFUNCTION("IF(REGEXMATCH($B221,N$1),$D221,"""")"),"")</f>
        <v/>
      </c>
      <c r="O221" s="13" t="str">
        <f>IFERROR(__xludf.DUMMYFUNCTION("IF(REGEXMATCH($B221,O$1),$D221,"""")"),"")</f>
        <v/>
      </c>
      <c r="P221" s="13" t="str">
        <f>IFERROR(__xludf.DUMMYFUNCTION("IF(REGEXMATCH($B221,P$1),$D221,"""")"),"")</f>
        <v/>
      </c>
      <c r="Q221" s="13">
        <f>IFERROR(__xludf.DUMMYFUNCTION("IF($A221="""","""",LEN(REGEXREPLACE($I221,"",\s?"","""")))"),4.0)</f>
        <v>4</v>
      </c>
      <c r="S221" s="13"/>
      <c r="T221" s="13"/>
      <c r="U221" s="13"/>
      <c r="V221" s="13"/>
      <c r="W221" s="13"/>
      <c r="X221" s="13"/>
      <c r="Y221" s="13"/>
      <c r="Z221" s="13"/>
      <c r="AA221" s="13"/>
      <c r="AB221" s="13"/>
    </row>
    <row r="222" hidden="1">
      <c r="A222" s="19" t="s">
        <v>1000</v>
      </c>
      <c r="B222" s="79" t="s">
        <v>12</v>
      </c>
      <c r="C222" s="11">
        <v>2.0</v>
      </c>
      <c r="D222" s="11" t="s">
        <v>519</v>
      </c>
      <c r="E222" s="29"/>
      <c r="F222" s="10" t="str">
        <f>IFERROR(__xludf.DUMMYFUNCTION("IF(REGEXMATCH($E222,""Wizard""),""Wizard "","""")&amp;IF(REGEXMATCH($E222,""Construct""),""Construct "","""")&amp;IF(REGEXMATCH($E222,""Insect""),""Insect "","""")&amp;IF(REGEXMATCH($E222,""Dragon""),""Dragon "","""")&amp;IF(REGEXMATCH($E222,""Human""),""Human "","""")&amp;I"&amp;"F(REGEXMATCH($E222,""Hunter""),""Hunter "","""")&amp;IF(REGEXMATCH($E222,""Animal""),""Animal "","""")&amp;IF(REGEXMATCH($E222,""Undead""),""Undead "","""")&amp;IF(REGEXMATCH($E222,""Plant""),""Plant "","""")&amp;IF(REGEXMATCH($E222,""Dinosaur""),""Dinosaur "","""")&amp;IF(R"&amp;"EGEXMATCH($E222,""Warrior""),""Warrior "","""")&amp;IF(REGEXMATCH($E222,""Spirit""),""Spirit "","""")&amp;IF(REGEXMATCH($E222,""Angel""),""Angel "","""")&amp;IF(REGEXMATCH($E222,""Demon""),""Demon "","""")&amp;IF(REGEXMATCH($E222,""Divine""),""Divine "","""")&amp;IF(REGEXMAT"&amp;"CH($E222,""Elemental""),""Elemental "","""")&amp;IF(REGEXMATCH($E222,""Nature""),""Nature "","""")&amp;IF(REGEXMATCH($E222,""Mortal""),""Mortal "","""")&amp;IF(REGEXMATCH($E222,""Void""),""Void "","""")&amp;IF(REGEXMATCH($E222,""Unearth|Ambush|Ritual|unearth|ambush|ritua"&amp;"l""),""Unearth "","""")&amp;IF(REGEXMATCH($E222,""Unleash|Crystallize|all realms|Crystalborn|crystallize""),""Ramp "","""")&amp;IF(REGEXMATCH($E222,""Demon""),""Demon "","""")&amp;IF(REGEXMATCH($E222,""bury|buries|Bury|Buries|Cleanse|puts a Unit|trail|Trail""),""Cont"&amp;"rol "","""")&amp;IF(REGEXMATCH($E222,""Bounce|Return|Copy|bounce|return|copy""),""Copy "","""")&amp;IF(REGEXMATCH($E222,""conquer|Conquer|leading in lanes|lead by""),""Aggro "","""")&amp;IF(REGEXMATCH($E222,""Ascend|ascend""),""Ascend "","""")&amp;IF(REGEXMATCH($E222,""B"&amp;"ury .+ Crystal|.*crystal.*bury""),""Empty-Crystal"","""")&amp;IF(REGEXMATCH($E222,""Move|move""),""Move"","""")"),"")</f>
        <v/>
      </c>
      <c r="G222" s="12" t="s">
        <v>1001</v>
      </c>
      <c r="H222" s="11">
        <v>7.0</v>
      </c>
      <c r="I222" s="11" t="s">
        <v>1002</v>
      </c>
      <c r="J222" s="11" t="s">
        <v>42</v>
      </c>
      <c r="L222" s="13" t="str">
        <f>IFERROR(__xludf.DUMMYFUNCTION("IF(REGEXMATCH($B222,L$1),$D222,"""")"),"")</f>
        <v/>
      </c>
      <c r="M222" s="13" t="str">
        <f>IFERROR(__xludf.DUMMYFUNCTION("IF(REGEXMATCH($B222,M$1),$D222,"""")"),"Insect")</f>
        <v>Insect</v>
      </c>
      <c r="N222" s="13" t="str">
        <f>IFERROR(__xludf.DUMMYFUNCTION("IF(REGEXMATCH($B222,N$1),$D222,"""")"),"")</f>
        <v/>
      </c>
      <c r="O222" s="13" t="str">
        <f>IFERROR(__xludf.DUMMYFUNCTION("IF(REGEXMATCH($B222,O$1),$D222,"""")"),"")</f>
        <v/>
      </c>
      <c r="P222" s="13" t="str">
        <f>IFERROR(__xludf.DUMMYFUNCTION("IF(REGEXMATCH($B222,P$1),$D222,"""")"),"")</f>
        <v/>
      </c>
      <c r="Q222" s="13">
        <f>IFERROR(__xludf.DUMMYFUNCTION("IF($A222="""","""",LEN(REGEXREPLACE($I222,"",\s?"","""")))"),7.0)</f>
        <v>7</v>
      </c>
      <c r="S222" s="13"/>
      <c r="T222" s="13"/>
      <c r="U222" s="13"/>
      <c r="V222" s="13"/>
      <c r="W222" s="13"/>
      <c r="X222" s="13"/>
      <c r="Y222" s="13"/>
      <c r="Z222" s="13"/>
      <c r="AA222" s="13"/>
      <c r="AB222" s="13"/>
    </row>
    <row r="223" hidden="1">
      <c r="A223" s="31" t="s">
        <v>1003</v>
      </c>
      <c r="B223" s="80" t="s">
        <v>12</v>
      </c>
      <c r="C223" s="18">
        <v>2.0</v>
      </c>
      <c r="D223" s="18" t="s">
        <v>1004</v>
      </c>
      <c r="E223" s="19" t="s">
        <v>181</v>
      </c>
      <c r="F223" s="10" t="str">
        <f>IFERROR(__xludf.DUMMYFUNCTION("IF(REGEXMATCH($E223,""Wizard""),""Wizard "","""")&amp;IF(REGEXMATCH($E223,""Construct""),""Construct "","""")&amp;IF(REGEXMATCH($E223,""Insect""),""Insect "","""")&amp;IF(REGEXMATCH($E223,""Dragon""),""Dragon "","""")&amp;IF(REGEXMATCH($E223,""Human""),""Human "","""")&amp;I"&amp;"F(REGEXMATCH($E223,""Hunter""),""Hunter "","""")&amp;IF(REGEXMATCH($E223,""Animal""),""Animal "","""")&amp;IF(REGEXMATCH($E223,""Undead""),""Undead "","""")&amp;IF(REGEXMATCH($E223,""Plant""),""Plant "","""")&amp;IF(REGEXMATCH($E223,""Dinosaur""),""Dinosaur "","""")&amp;IF(R"&amp;"EGEXMATCH($E223,""Warrior""),""Warrior "","""")&amp;IF(REGEXMATCH($E223,""Spirit""),""Spirit "","""")&amp;IF(REGEXMATCH($E223,""Angel""),""Angel "","""")&amp;IF(REGEXMATCH($E223,""Demon""),""Demon "","""")&amp;IF(REGEXMATCH($E223,""Divine""),""Divine "","""")&amp;IF(REGEXMAT"&amp;"CH($E223,""Elemental""),""Elemental "","""")&amp;IF(REGEXMATCH($E223,""Nature""),""Nature "","""")&amp;IF(REGEXMATCH($E223,""Mortal""),""Mortal "","""")&amp;IF(REGEXMATCH($E223,""Void""),""Void "","""")&amp;IF(REGEXMATCH($E223,""Unearth|Ambush|Ritual|unearth|ambush|ritua"&amp;"l""),""Unearth "","""")&amp;IF(REGEXMATCH($E223,""Unleash|Crystallize|all realms|Crystalborn|crystallize""),""Ramp "","""")&amp;IF(REGEXMATCH($E223,""Demon""),""Demon "","""")&amp;IF(REGEXMATCH($E223,""bury|buries|Bury|Buries|Cleanse|puts a Unit|trail|Trail""),""Cont"&amp;"rol "","""")&amp;IF(REGEXMATCH($E223,""Bounce|Return|Copy|bounce|return|copy""),""Copy "","""")&amp;IF(REGEXMATCH($E223,""conquer|Conquer|leading in lanes|lead by""),""Aggro "","""")&amp;IF(REGEXMATCH($E223,""Ascend|ascend""),""Ascend "","""")&amp;IF(REGEXMATCH($E223,""B"&amp;"ury .+ Crystal|.*crystal.*bury""),""Empty-Crystal"","""")&amp;IF(REGEXMATCH($E223,""Move|move""),""Move"","""")"),"")</f>
        <v/>
      </c>
      <c r="G223" s="20" t="s">
        <v>541</v>
      </c>
      <c r="H223" s="18">
        <v>2.0</v>
      </c>
      <c r="I223" s="18" t="s">
        <v>949</v>
      </c>
      <c r="J223" s="18" t="s">
        <v>42</v>
      </c>
      <c r="L223" s="13" t="str">
        <f>IFERROR(__xludf.DUMMYFUNCTION("IF(REGEXMATCH($B223,L$1),$D223,"""")"),"")</f>
        <v/>
      </c>
      <c r="M223" s="13" t="str">
        <f>IFERROR(__xludf.DUMMYFUNCTION("IF(REGEXMATCH($B223,M$1),$D223,"""")"),"Crusader Warrior")</f>
        <v>Crusader Warrior</v>
      </c>
      <c r="N223" s="13" t="str">
        <f>IFERROR(__xludf.DUMMYFUNCTION("IF(REGEXMATCH($B223,N$1),$D223,"""")"),"")</f>
        <v/>
      </c>
      <c r="O223" s="13" t="str">
        <f>IFERROR(__xludf.DUMMYFUNCTION("IF(REGEXMATCH($B223,O$1),$D223,"""")"),"")</f>
        <v/>
      </c>
      <c r="P223" s="13" t="str">
        <f>IFERROR(__xludf.DUMMYFUNCTION("IF(REGEXMATCH($B223,P$1),$D223,"""")"),"")</f>
        <v/>
      </c>
      <c r="Q223" s="13">
        <f>IFERROR(__xludf.DUMMYFUNCTION("IF($A223="""","""",LEN(REGEXREPLACE($I223,"",\s?"","""")))"),2.0)</f>
        <v>2</v>
      </c>
      <c r="S223" s="13"/>
      <c r="T223" s="13"/>
      <c r="U223" s="13"/>
      <c r="V223" s="13"/>
      <c r="W223" s="13"/>
      <c r="X223" s="13"/>
      <c r="Y223" s="13"/>
      <c r="Z223" s="13"/>
      <c r="AA223" s="13"/>
      <c r="AB223" s="13"/>
    </row>
    <row r="224" hidden="1">
      <c r="A224" s="19" t="s">
        <v>1005</v>
      </c>
      <c r="B224" s="80" t="s">
        <v>12</v>
      </c>
      <c r="C224" s="18">
        <v>2.0</v>
      </c>
      <c r="D224" s="18" t="s">
        <v>158</v>
      </c>
      <c r="E224" s="19" t="s">
        <v>1006</v>
      </c>
      <c r="F224" s="10" t="str">
        <f>IFERROR(__xludf.DUMMYFUNCTION("IF(REGEXMATCH($E224,""Wizard""),""Wizard "","""")&amp;IF(REGEXMATCH($E224,""Construct""),""Construct "","""")&amp;IF(REGEXMATCH($E224,""Insect""),""Insect "","""")&amp;IF(REGEXMATCH($E224,""Dragon""),""Dragon "","""")&amp;IF(REGEXMATCH($E224,""Human""),""Human "","""")&amp;I"&amp;"F(REGEXMATCH($E224,""Hunter""),""Hunter "","""")&amp;IF(REGEXMATCH($E224,""Animal""),""Animal "","""")&amp;IF(REGEXMATCH($E224,""Undead""),""Undead "","""")&amp;IF(REGEXMATCH($E224,""Plant""),""Plant "","""")&amp;IF(REGEXMATCH($E224,""Dinosaur""),""Dinosaur "","""")&amp;IF(R"&amp;"EGEXMATCH($E224,""Warrior""),""Warrior "","""")&amp;IF(REGEXMATCH($E224,""Spirit""),""Spirit "","""")&amp;IF(REGEXMATCH($E224,""Angel""),""Angel "","""")&amp;IF(REGEXMATCH($E224,""Demon""),""Demon "","""")&amp;IF(REGEXMATCH($E224,""Divine""),""Divine "","""")&amp;IF(REGEXMAT"&amp;"CH($E224,""Elemental""),""Elemental "","""")&amp;IF(REGEXMATCH($E224,""Nature""),""Nature "","""")&amp;IF(REGEXMATCH($E224,""Mortal""),""Mortal "","""")&amp;IF(REGEXMATCH($E224,""Void""),""Void "","""")&amp;IF(REGEXMATCH($E224,""Unearth|Ambush|Ritual|unearth|ambush|ritua"&amp;"l""),""Unearth "","""")&amp;IF(REGEXMATCH($E224,""Unleash|Crystallize|all realms|Crystalborn|crystallize""),""Ramp "","""")&amp;IF(REGEXMATCH($E224,""Demon""),""Demon "","""")&amp;IF(REGEXMATCH($E224,""bury|buries|Bury|Buries|Cleanse|puts a Unit|trail|Trail""),""Cont"&amp;"rol "","""")&amp;IF(REGEXMATCH($E224,""Bounce|Return|Copy|bounce|return|copy""),""Copy "","""")&amp;IF(REGEXMATCH($E224,""conquer|Conquer|leading in lanes|lead by""),""Aggro "","""")&amp;IF(REGEXMATCH($E224,""Ascend|ascend""),""Ascend "","""")&amp;IF(REGEXMATCH($E224,""B"&amp;"ury .+ Crystal|.*crystal.*bury""),""Empty-Crystal"","""")&amp;IF(REGEXMATCH($E224,""Move|move""),""Move"","""")"),"Unearth Control Aggro ")</f>
        <v>Unearth Control Aggro </v>
      </c>
      <c r="G224" s="20" t="s">
        <v>1007</v>
      </c>
      <c r="H224" s="18">
        <v>2.0</v>
      </c>
      <c r="I224" s="11" t="s">
        <v>1002</v>
      </c>
      <c r="J224" s="11" t="s">
        <v>50</v>
      </c>
      <c r="L224" s="13" t="str">
        <f>IFERROR(__xludf.DUMMYFUNCTION("IF(REGEXMATCH($B224,L$1),$D224,"""")"),"")</f>
        <v/>
      </c>
      <c r="M224" s="13" t="str">
        <f>IFERROR(__xludf.DUMMYFUNCTION("IF(REGEXMATCH($B224,M$1),$D224,"""")"),"Animal Construct")</f>
        <v>Animal Construct</v>
      </c>
      <c r="N224" s="13" t="str">
        <f>IFERROR(__xludf.DUMMYFUNCTION("IF(REGEXMATCH($B224,N$1),$D224,"""")"),"")</f>
        <v/>
      </c>
      <c r="O224" s="13" t="str">
        <f>IFERROR(__xludf.DUMMYFUNCTION("IF(REGEXMATCH($B224,O$1),$D224,"""")"),"")</f>
        <v/>
      </c>
      <c r="P224" s="13" t="str">
        <f>IFERROR(__xludf.DUMMYFUNCTION("IF(REGEXMATCH($B224,P$1),$D224,"""")"),"")</f>
        <v/>
      </c>
      <c r="Q224" s="13">
        <f>IFERROR(__xludf.DUMMYFUNCTION("IF($A224="""","""",LEN(REGEXREPLACE($I224,"",\s?"","""")))"),7.0)</f>
        <v>7</v>
      </c>
      <c r="S224" s="13"/>
      <c r="T224" s="13"/>
      <c r="U224" s="13"/>
      <c r="V224" s="13"/>
      <c r="W224" s="13"/>
      <c r="X224" s="13"/>
      <c r="Y224" s="13"/>
      <c r="Z224" s="13"/>
      <c r="AA224" s="13"/>
      <c r="AB224" s="13"/>
    </row>
    <row r="225" hidden="1">
      <c r="A225" s="19" t="s">
        <v>1008</v>
      </c>
      <c r="B225" s="80" t="s">
        <v>12</v>
      </c>
      <c r="C225" s="18">
        <v>2.0</v>
      </c>
      <c r="D225" s="18" t="s">
        <v>139</v>
      </c>
      <c r="E225" s="19" t="s">
        <v>1009</v>
      </c>
      <c r="F225" s="10" t="str">
        <f>IFERROR(__xludf.DUMMYFUNCTION("IF(REGEXMATCH($E225,""Wizard""),""Wizard "","""")&amp;IF(REGEXMATCH($E225,""Construct""),""Construct "","""")&amp;IF(REGEXMATCH($E225,""Insect""),""Insect "","""")&amp;IF(REGEXMATCH($E225,""Dragon""),""Dragon "","""")&amp;IF(REGEXMATCH($E225,""Human""),""Human "","""")&amp;I"&amp;"F(REGEXMATCH($E225,""Hunter""),""Hunter "","""")&amp;IF(REGEXMATCH($E225,""Animal""),""Animal "","""")&amp;IF(REGEXMATCH($E225,""Undead""),""Undead "","""")&amp;IF(REGEXMATCH($E225,""Plant""),""Plant "","""")&amp;IF(REGEXMATCH($E225,""Dinosaur""),""Dinosaur "","""")&amp;IF(R"&amp;"EGEXMATCH($E225,""Warrior""),""Warrior "","""")&amp;IF(REGEXMATCH($E225,""Spirit""),""Spirit "","""")&amp;IF(REGEXMATCH($E225,""Angel""),""Angel "","""")&amp;IF(REGEXMATCH($E225,""Demon""),""Demon "","""")&amp;IF(REGEXMATCH($E225,""Divine""),""Divine "","""")&amp;IF(REGEXMAT"&amp;"CH($E225,""Elemental""),""Elemental "","""")&amp;IF(REGEXMATCH($E225,""Nature""),""Nature "","""")&amp;IF(REGEXMATCH($E225,""Mortal""),""Mortal "","""")&amp;IF(REGEXMATCH($E225,""Void""),""Void "","""")&amp;IF(REGEXMATCH($E225,""Unearth|Ambush|Ritual|unearth|ambush|ritua"&amp;"l""),""Unearth "","""")&amp;IF(REGEXMATCH($E225,""Unleash|Crystallize|all realms|Crystalborn|crystallize""),""Ramp "","""")&amp;IF(REGEXMATCH($E225,""Demon""),""Demon "","""")&amp;IF(REGEXMATCH($E225,""bury|buries|Bury|Buries|Cleanse|puts a Unit|trail|Trail""),""Cont"&amp;"rol "","""")&amp;IF(REGEXMATCH($E225,""Bounce|Return|Copy|bounce|return|copy""),""Copy "","""")&amp;IF(REGEXMATCH($E225,""conquer|Conquer|leading in lanes|lead by""),""Aggro "","""")&amp;IF(REGEXMATCH($E225,""Ascend|ascend""),""Ascend "","""")&amp;IF(REGEXMATCH($E225,""B"&amp;"ury .+ Crystal|.*crystal.*bury""),""Empty-Crystal"","""")&amp;IF(REGEXMATCH($E225,""Move|move""),""Move"","""")"),"Animal Ascend ")</f>
        <v>Animal Ascend </v>
      </c>
      <c r="G225" s="20" t="s">
        <v>40</v>
      </c>
      <c r="H225" s="18">
        <v>1.0</v>
      </c>
      <c r="I225" s="18" t="s">
        <v>949</v>
      </c>
      <c r="J225" s="18" t="s">
        <v>42</v>
      </c>
      <c r="L225" s="13" t="str">
        <f>IFERROR(__xludf.DUMMYFUNCTION("IF(REGEXMATCH($B225,L$1),$D225,"""")"),"")</f>
        <v/>
      </c>
      <c r="M225" s="13" t="str">
        <f>IFERROR(__xludf.DUMMYFUNCTION("IF(REGEXMATCH($B225,M$1),$D225,"""")"),"Animal")</f>
        <v>Animal</v>
      </c>
      <c r="N225" s="13" t="str">
        <f>IFERROR(__xludf.DUMMYFUNCTION("IF(REGEXMATCH($B225,N$1),$D225,"""")"),"")</f>
        <v/>
      </c>
      <c r="O225" s="13" t="str">
        <f>IFERROR(__xludf.DUMMYFUNCTION("IF(REGEXMATCH($B225,O$1),$D225,"""")"),"")</f>
        <v/>
      </c>
      <c r="P225" s="13" t="str">
        <f>IFERROR(__xludf.DUMMYFUNCTION("IF(REGEXMATCH($B225,P$1),$D225,"""")"),"")</f>
        <v/>
      </c>
      <c r="Q225" s="13">
        <f>IFERROR(__xludf.DUMMYFUNCTION("IF($A225="""","""",LEN(REGEXREPLACE($I225,"",\s?"","""")))"),2.0)</f>
        <v>2</v>
      </c>
      <c r="S225" s="13"/>
      <c r="T225" s="13"/>
      <c r="U225" s="13"/>
      <c r="V225" s="13"/>
      <c r="W225" s="13"/>
      <c r="X225" s="13"/>
      <c r="Y225" s="13"/>
      <c r="Z225" s="13"/>
      <c r="AA225" s="13"/>
      <c r="AB225" s="13"/>
    </row>
    <row r="226" hidden="1">
      <c r="A226" s="19" t="s">
        <v>1010</v>
      </c>
      <c r="B226" s="19" t="s">
        <v>12</v>
      </c>
      <c r="C226" s="18">
        <v>2.0</v>
      </c>
      <c r="D226" s="18" t="s">
        <v>1011</v>
      </c>
      <c r="E226" s="19" t="s">
        <v>1012</v>
      </c>
      <c r="F226" s="10" t="str">
        <f>IFERROR(__xludf.DUMMYFUNCTION("IF(REGEXMATCH($E226,""Wizard""),""Wizard "","""")&amp;IF(REGEXMATCH($E226,""Construct""),""Construct "","""")&amp;IF(REGEXMATCH($E226,""Insect""),""Insect "","""")&amp;IF(REGEXMATCH($E226,""Dragon""),""Dragon "","""")&amp;IF(REGEXMATCH($E226,""Human""),""Human "","""")&amp;I"&amp;"F(REGEXMATCH($E226,""Hunter""),""Hunter "","""")&amp;IF(REGEXMATCH($E226,""Animal""),""Animal "","""")&amp;IF(REGEXMATCH($E226,""Undead""),""Undead "","""")&amp;IF(REGEXMATCH($E226,""Plant""),""Plant "","""")&amp;IF(REGEXMATCH($E226,""Dinosaur""),""Dinosaur "","""")&amp;IF(R"&amp;"EGEXMATCH($E226,""Warrior""),""Warrior "","""")&amp;IF(REGEXMATCH($E226,""Spirit""),""Spirit "","""")&amp;IF(REGEXMATCH($E226,""Angel""),""Angel "","""")&amp;IF(REGEXMATCH($E226,""Demon""),""Demon "","""")&amp;IF(REGEXMATCH($E226,""Divine""),""Divine "","""")&amp;IF(REGEXMAT"&amp;"CH($E226,""Elemental""),""Elemental "","""")&amp;IF(REGEXMATCH($E226,""Nature""),""Nature "","""")&amp;IF(REGEXMATCH($E226,""Mortal""),""Mortal "","""")&amp;IF(REGEXMATCH($E226,""Void""),""Void "","""")&amp;IF(REGEXMATCH($E226,""Unearth|Ambush|Ritual|unearth|ambush|ritua"&amp;"l""),""Unearth "","""")&amp;IF(REGEXMATCH($E226,""Unleash|Crystallize|all realms|Crystalborn|crystallize""),""Ramp "","""")&amp;IF(REGEXMATCH($E226,""Demon""),""Demon "","""")&amp;IF(REGEXMATCH($E226,""bury|buries|Bury|Buries|Cleanse|puts a Unit|trail|Trail""),""Cont"&amp;"rol "","""")&amp;IF(REGEXMATCH($E226,""Bounce|Return|Copy|bounce|return|copy""),""Copy "","""")&amp;IF(REGEXMATCH($E226,""conquer|Conquer|leading in lanes|lead by""),""Aggro "","""")&amp;IF(REGEXMATCH($E226,""Ascend|ascend""),""Ascend "","""")&amp;IF(REGEXMATCH($E226,""B"&amp;"ury .+ Crystal|.*crystal.*bury""),""Empty-Crystal"","""")&amp;IF(REGEXMATCH($E226,""Move|move""),""Move"","""")"),"Hunter Unearth ")</f>
        <v>Hunter Unearth </v>
      </c>
      <c r="G226" s="20" t="s">
        <v>1013</v>
      </c>
      <c r="H226" s="18">
        <v>5.0</v>
      </c>
      <c r="I226" s="18" t="s">
        <v>1014</v>
      </c>
      <c r="J226" s="18" t="s">
        <v>33</v>
      </c>
      <c r="L226" s="13" t="str">
        <f>IFERROR(__xludf.DUMMYFUNCTION("IF(REGEXMATCH($B226,L$1),$D226,"""")"),"")</f>
        <v/>
      </c>
      <c r="M226" s="13" t="str">
        <f>IFERROR(__xludf.DUMMYFUNCTION("IF(REGEXMATCH($B226,M$1),$D226,"""")"),"Hunter Insect")</f>
        <v>Hunter Insect</v>
      </c>
      <c r="N226" s="13" t="str">
        <f>IFERROR(__xludf.DUMMYFUNCTION("IF(REGEXMATCH($B226,N$1),$D226,"""")"),"")</f>
        <v/>
      </c>
      <c r="O226" s="13" t="str">
        <f>IFERROR(__xludf.DUMMYFUNCTION("IF(REGEXMATCH($B226,O$1),$D226,"""")"),"")</f>
        <v/>
      </c>
      <c r="P226" s="13" t="str">
        <f>IFERROR(__xludf.DUMMYFUNCTION("IF(REGEXMATCH($B226,P$1),$D226,"""")"),"")</f>
        <v/>
      </c>
      <c r="Q226" s="13">
        <f>IFERROR(__xludf.DUMMYFUNCTION("IF($A226="""","""",LEN(REGEXREPLACE($I226,"",\s?"","""")))"),5.0)</f>
        <v>5</v>
      </c>
      <c r="S226" s="13"/>
      <c r="T226" s="13"/>
      <c r="U226" s="13"/>
      <c r="V226" s="13"/>
      <c r="W226" s="13"/>
      <c r="X226" s="13"/>
      <c r="Y226" s="13"/>
      <c r="Z226" s="13"/>
      <c r="AA226" s="13"/>
      <c r="AB226" s="13"/>
    </row>
    <row r="227" hidden="1">
      <c r="A227" s="19" t="s">
        <v>1015</v>
      </c>
      <c r="B227" s="80" t="s">
        <v>12</v>
      </c>
      <c r="C227" s="18">
        <v>2.0</v>
      </c>
      <c r="D227" s="18" t="s">
        <v>1016</v>
      </c>
      <c r="E227" s="19" t="s">
        <v>1017</v>
      </c>
      <c r="F227" s="10" t="str">
        <f>IFERROR(__xludf.DUMMYFUNCTION("IF(REGEXMATCH($E227,""Wizard""),""Wizard "","""")&amp;IF(REGEXMATCH($E227,""Construct""),""Construct "","""")&amp;IF(REGEXMATCH($E227,""Insect""),""Insect "","""")&amp;IF(REGEXMATCH($E227,""Dragon""),""Dragon "","""")&amp;IF(REGEXMATCH($E227,""Human""),""Human "","""")&amp;I"&amp;"F(REGEXMATCH($E227,""Hunter""),""Hunter "","""")&amp;IF(REGEXMATCH($E227,""Animal""),""Animal "","""")&amp;IF(REGEXMATCH($E227,""Undead""),""Undead "","""")&amp;IF(REGEXMATCH($E227,""Plant""),""Plant "","""")&amp;IF(REGEXMATCH($E227,""Dinosaur""),""Dinosaur "","""")&amp;IF(R"&amp;"EGEXMATCH($E227,""Warrior""),""Warrior "","""")&amp;IF(REGEXMATCH($E227,""Spirit""),""Spirit "","""")&amp;IF(REGEXMATCH($E227,""Angel""),""Angel "","""")&amp;IF(REGEXMATCH($E227,""Demon""),""Demon "","""")&amp;IF(REGEXMATCH($E227,""Divine""),""Divine "","""")&amp;IF(REGEXMAT"&amp;"CH($E227,""Elemental""),""Elemental "","""")&amp;IF(REGEXMATCH($E227,""Nature""),""Nature "","""")&amp;IF(REGEXMATCH($E227,""Mortal""),""Mortal "","""")&amp;IF(REGEXMATCH($E227,""Void""),""Void "","""")&amp;IF(REGEXMATCH($E227,""Unearth|Ambush|Ritual|unearth|ambush|ritua"&amp;"l""),""Unearth "","""")&amp;IF(REGEXMATCH($E227,""Unleash|Crystallize|all realms|Crystalborn|crystallize""),""Ramp "","""")&amp;IF(REGEXMATCH($E227,""Demon""),""Demon "","""")&amp;IF(REGEXMATCH($E227,""bury|buries|Bury|Buries|Cleanse|puts a Unit|trail|Trail""),""Cont"&amp;"rol "","""")&amp;IF(REGEXMATCH($E227,""Bounce|Return|Copy|bounce|return|copy""),""Copy "","""")&amp;IF(REGEXMATCH($E227,""conquer|Conquer|leading in lanes|lead by""),""Aggro "","""")&amp;IF(REGEXMATCH($E227,""Ascend|ascend""),""Ascend "","""")&amp;IF(REGEXMATCH($E227,""B"&amp;"ury .+ Crystal|.*crystal.*bury""),""Empty-Crystal"","""")&amp;IF(REGEXMATCH($E227,""Move|move""),""Move"","""")"),"Dinosaur Copy ")</f>
        <v>Dinosaur Copy </v>
      </c>
      <c r="G227" s="20" t="s">
        <v>689</v>
      </c>
      <c r="H227" s="18">
        <v>4.0</v>
      </c>
      <c r="I227" s="18" t="s">
        <v>1014</v>
      </c>
      <c r="J227" s="18" t="s">
        <v>42</v>
      </c>
      <c r="L227" s="13" t="str">
        <f>IFERROR(__xludf.DUMMYFUNCTION("IF(REGEXMATCH($B227,L$1),$D227,"""")"),"")</f>
        <v/>
      </c>
      <c r="M227" s="13" t="str">
        <f>IFERROR(__xludf.DUMMYFUNCTION("IF(REGEXMATCH($B227,M$1),$D227,"""")"),"Dinosaur Hunter")</f>
        <v>Dinosaur Hunter</v>
      </c>
      <c r="N227" s="13" t="str">
        <f>IFERROR(__xludf.DUMMYFUNCTION("IF(REGEXMATCH($B227,N$1),$D227,"""")"),"")</f>
        <v/>
      </c>
      <c r="O227" s="13" t="str">
        <f>IFERROR(__xludf.DUMMYFUNCTION("IF(REGEXMATCH($B227,O$1),$D227,"""")"),"")</f>
        <v/>
      </c>
      <c r="P227" s="13" t="str">
        <f>IFERROR(__xludf.DUMMYFUNCTION("IF(REGEXMATCH($B227,P$1),$D227,"""")"),"")</f>
        <v/>
      </c>
      <c r="Q227" s="13">
        <f>IFERROR(__xludf.DUMMYFUNCTION("IF($A227="""","""",LEN(REGEXREPLACE($I227,"",\s?"","""")))"),5.0)</f>
        <v>5</v>
      </c>
      <c r="S227" s="13"/>
      <c r="T227" s="13"/>
      <c r="U227" s="13"/>
      <c r="V227" s="13"/>
      <c r="W227" s="13"/>
      <c r="X227" s="13"/>
      <c r="Y227" s="13"/>
      <c r="Z227" s="13"/>
      <c r="AA227" s="13"/>
      <c r="AB227" s="13"/>
    </row>
    <row r="228">
      <c r="A228" s="10" t="s">
        <v>1018</v>
      </c>
      <c r="B228" s="10" t="s">
        <v>869</v>
      </c>
      <c r="C228" s="11">
        <v>1.0</v>
      </c>
      <c r="D228" s="11" t="s">
        <v>1019</v>
      </c>
      <c r="E228" s="10"/>
      <c r="F228" s="10" t="str">
        <f>IFERROR(__xludf.DUMMYFUNCTION("IF(REGEXMATCH($E228,""Wizard""),""Wizard "","""")&amp;IF(REGEXMATCH($E228,""Construct""),""Construct "","""")&amp;IF(REGEXMATCH($E228,""Insect""),""Insect "","""")&amp;IF(REGEXMATCH($E228,""Dragon""),""Dragon "","""")&amp;IF(REGEXMATCH($E228,""Human""),""Human "","""")&amp;I"&amp;"F(REGEXMATCH($E228,""Hunter""),""Hunter "","""")&amp;IF(REGEXMATCH($E228,""Animal""),""Animal "","""")&amp;IF(REGEXMATCH($E228,""Undead""),""Undead "","""")&amp;IF(REGEXMATCH($E228,""Plant""),""Plant "","""")&amp;IF(REGEXMATCH($E228,""Dinosaur""),""Dinosaur "","""")&amp;IF(R"&amp;"EGEXMATCH($E228,""Warrior""),""Warrior "","""")&amp;IF(REGEXMATCH($E228,""Spirit""),""Spirit "","""")&amp;IF(REGEXMATCH($E228,""Angel""),""Angel "","""")&amp;IF(REGEXMATCH($E228,""Demon""),""Demon "","""")&amp;IF(REGEXMATCH($E228,""Divine""),""Divine "","""")&amp;IF(REGEXMAT"&amp;"CH($E228,""Elemental""),""Elemental "","""")&amp;IF(REGEXMATCH($E228,""Nature""),""Nature "","""")&amp;IF(REGEXMATCH($E228,""Mortal""),""Mortal "","""")&amp;IF(REGEXMATCH($E228,""Void""),""Void "","""")&amp;IF(REGEXMATCH($E228,""Unearth|Ambush|Ritual|unearth|ambush|ritua"&amp;"l""),""Unearth "","""")&amp;IF(REGEXMATCH($E228,""Unleash|Crystallize|all realms|Crystalborn|crystallize""),""Ramp "","""")&amp;IF(REGEXMATCH($E228,""Demon""),""Demon "","""")&amp;IF(REGEXMATCH($E228,""bury|buries|Bury|Buries|Cleanse|puts a Unit|trail|Trail""),""Cont"&amp;"rol "","""")&amp;IF(REGEXMATCH($E228,""Bounce|Return|Copy|bounce|return|copy""),""Copy "","""")&amp;IF(REGEXMATCH($E228,""conquer|Conquer|leading in lanes|lead by""),""Aggro "","""")&amp;IF(REGEXMATCH($E228,""Ascend|ascend""),""Ascend "","""")&amp;IF(REGEXMATCH($E228,""B"&amp;"ury .+ Crystal|.*crystal.*bury""),""Empty-Crystal"","""")&amp;IF(REGEXMATCH($E228,""Move|move""),""Move"","""")"),"")</f>
        <v/>
      </c>
      <c r="G228" s="12" t="s">
        <v>1020</v>
      </c>
      <c r="H228" s="11">
        <v>2.0</v>
      </c>
      <c r="I228" s="11" t="s">
        <v>1021</v>
      </c>
      <c r="J228" s="11" t="s">
        <v>42</v>
      </c>
      <c r="L228" s="13" t="str">
        <f>IFERROR(__xludf.DUMMYFUNCTION("IF(REGEXMATCH($B228,L$1),$D228,"""")"),"")</f>
        <v/>
      </c>
      <c r="M228" s="13" t="str">
        <f>IFERROR(__xludf.DUMMYFUNCTION("IF(REGEXMATCH($B228,M$1),$D228,"""")"),"Bannerbearer Human Hunter")</f>
        <v>Bannerbearer Human Hunter</v>
      </c>
      <c r="N228" s="13" t="str">
        <f>IFERROR(__xludf.DUMMYFUNCTION("IF(REGEXMATCH($B228,N$1),$D228,"""")"),"")</f>
        <v/>
      </c>
      <c r="O228" s="13" t="str">
        <f>IFERROR(__xludf.DUMMYFUNCTION("IF(REGEXMATCH($B228,O$1),$D228,"""")"),"Bannerbearer Human Hunter")</f>
        <v>Bannerbearer Human Hunter</v>
      </c>
      <c r="P228" s="13" t="str">
        <f>IFERROR(__xludf.DUMMYFUNCTION("IF(REGEXMATCH($B228,P$1),$D228,"""")"),"")</f>
        <v/>
      </c>
      <c r="Q228" s="13">
        <f>IFERROR(__xludf.DUMMYFUNCTION("IF($A228="""","""",LEN(REGEXREPLACE($I228,"",\s?"","""")))"),2.0)</f>
        <v>2</v>
      </c>
      <c r="S228" s="13"/>
      <c r="T228" s="13"/>
      <c r="U228" s="13"/>
      <c r="V228" s="13"/>
      <c r="W228" s="13"/>
      <c r="X228" s="13"/>
      <c r="Y228" s="13"/>
      <c r="Z228" s="13"/>
      <c r="AA228" s="13"/>
      <c r="AB228" s="13"/>
    </row>
    <row r="229" hidden="1">
      <c r="A229" s="22" t="s">
        <v>1022</v>
      </c>
      <c r="B229" s="79" t="s">
        <v>12</v>
      </c>
      <c r="C229" s="11">
        <v>0.0</v>
      </c>
      <c r="D229" s="11" t="s">
        <v>955</v>
      </c>
      <c r="E229" s="10" t="s">
        <v>1023</v>
      </c>
      <c r="F229" s="10" t="str">
        <f>IFERROR(__xludf.DUMMYFUNCTION("IF(REGEXMATCH($E229,""Wizard""),""Wizard "","""")&amp;IF(REGEXMATCH($E229,""Construct""),""Construct "","""")&amp;IF(REGEXMATCH($E229,""Insect""),""Insect "","""")&amp;IF(REGEXMATCH($E229,""Dragon""),""Dragon "","""")&amp;IF(REGEXMATCH($E229,""Human""),""Human "","""")&amp;I"&amp;"F(REGEXMATCH($E229,""Hunter""),""Hunter "","""")&amp;IF(REGEXMATCH($E229,""Animal""),""Animal "","""")&amp;IF(REGEXMATCH($E229,""Undead""),""Undead "","""")&amp;IF(REGEXMATCH($E229,""Plant""),""Plant "","""")&amp;IF(REGEXMATCH($E229,""Dinosaur""),""Dinosaur "","""")&amp;IF(R"&amp;"EGEXMATCH($E229,""Warrior""),""Warrior "","""")&amp;IF(REGEXMATCH($E229,""Spirit""),""Spirit "","""")&amp;IF(REGEXMATCH($E229,""Angel""),""Angel "","""")&amp;IF(REGEXMATCH($E229,""Demon""),""Demon "","""")&amp;IF(REGEXMATCH($E229,""Divine""),""Divine "","""")&amp;IF(REGEXMAT"&amp;"CH($E229,""Elemental""),""Elemental "","""")&amp;IF(REGEXMATCH($E229,""Nature""),""Nature "","""")&amp;IF(REGEXMATCH($E229,""Mortal""),""Mortal "","""")&amp;IF(REGEXMATCH($E229,""Void""),""Void "","""")&amp;IF(REGEXMATCH($E229,""Unearth|Ambush|Ritual|unearth|ambush|ritua"&amp;"l""),""Unearth "","""")&amp;IF(REGEXMATCH($E229,""Unleash|Crystallize|all realms|Crystalborn|crystallize""),""Ramp "","""")&amp;IF(REGEXMATCH($E229,""Demon""),""Demon "","""")&amp;IF(REGEXMATCH($E229,""bury|buries|Bury|Buries|Cleanse|puts a Unit|trail|Trail""),""Cont"&amp;"rol "","""")&amp;IF(REGEXMATCH($E229,""Bounce|Return|Copy|bounce|return|copy""),""Copy "","""")&amp;IF(REGEXMATCH($E229,""conquer|Conquer|leading in lanes|lead by""),""Aggro "","""")&amp;IF(REGEXMATCH($E229,""Ascend|ascend""),""Ascend "","""")&amp;IF(REGEXMATCH($E229,""B"&amp;"ury .+ Crystal|.*crystal.*bury""),""Empty-Crystal"","""")&amp;IF(REGEXMATCH($E229,""Move|move""),""Move"","""")"),"Ramp ")</f>
        <v>Ramp </v>
      </c>
      <c r="G229" s="12" t="s">
        <v>1024</v>
      </c>
      <c r="H229" s="11">
        <v>5.0</v>
      </c>
      <c r="I229" s="11" t="s">
        <v>1014</v>
      </c>
      <c r="J229" s="11" t="s">
        <v>42</v>
      </c>
      <c r="L229" s="13" t="str">
        <f>IFERROR(__xludf.DUMMYFUNCTION("IF(REGEXMATCH($B229,L$1),$D229,"""")"),"")</f>
        <v/>
      </c>
      <c r="M229" s="13" t="str">
        <f>IFERROR(__xludf.DUMMYFUNCTION("IF(REGEXMATCH($B229,M$1),$D229,"""")"),"Animal Plant")</f>
        <v>Animal Plant</v>
      </c>
      <c r="N229" s="13" t="str">
        <f>IFERROR(__xludf.DUMMYFUNCTION("IF(REGEXMATCH($B229,N$1),$D229,"""")"),"")</f>
        <v/>
      </c>
      <c r="O229" s="13" t="str">
        <f>IFERROR(__xludf.DUMMYFUNCTION("IF(REGEXMATCH($B229,O$1),$D229,"""")"),"")</f>
        <v/>
      </c>
      <c r="P229" s="13" t="str">
        <f>IFERROR(__xludf.DUMMYFUNCTION("IF(REGEXMATCH($B229,P$1),$D229,"""")"),"")</f>
        <v/>
      </c>
      <c r="Q229" s="13">
        <f>IFERROR(__xludf.DUMMYFUNCTION("IF($A229="""","""",LEN(REGEXREPLACE($I229,"",\s?"","""")))"),5.0)</f>
        <v>5</v>
      </c>
      <c r="S229" s="13"/>
      <c r="T229" s="13"/>
      <c r="U229" s="13"/>
      <c r="V229" s="13"/>
      <c r="W229" s="13"/>
      <c r="X229" s="13"/>
      <c r="Y229" s="13"/>
      <c r="Z229" s="13"/>
      <c r="AA229" s="13"/>
      <c r="AB229" s="13"/>
    </row>
    <row r="230">
      <c r="A230" s="10" t="s">
        <v>1025</v>
      </c>
      <c r="B230" s="10" t="s">
        <v>913</v>
      </c>
      <c r="C230" s="11">
        <v>1.0</v>
      </c>
      <c r="D230" s="25" t="s">
        <v>1026</v>
      </c>
      <c r="E230" s="45" t="s">
        <v>1027</v>
      </c>
      <c r="F230" s="10" t="str">
        <f>IFERROR(__xludf.DUMMYFUNCTION("IF(REGEXMATCH($E230,""Wizard""),""Wizard "","""")&amp;IF(REGEXMATCH($E230,""Construct""),""Construct "","""")&amp;IF(REGEXMATCH($E230,""Insect""),""Insect "","""")&amp;IF(REGEXMATCH($E230,""Dragon""),""Dragon "","""")&amp;IF(REGEXMATCH($E230,""Human""),""Human "","""")&amp;I"&amp;"F(REGEXMATCH($E230,""Hunter""),""Hunter "","""")&amp;IF(REGEXMATCH($E230,""Animal""),""Animal "","""")&amp;IF(REGEXMATCH($E230,""Undead""),""Undead "","""")&amp;IF(REGEXMATCH($E230,""Plant""),""Plant "","""")&amp;IF(REGEXMATCH($E230,""Dinosaur""),""Dinosaur "","""")&amp;IF(R"&amp;"EGEXMATCH($E230,""Warrior""),""Warrior "","""")&amp;IF(REGEXMATCH($E230,""Spirit""),""Spirit "","""")&amp;IF(REGEXMATCH($E230,""Angel""),""Angel "","""")&amp;IF(REGEXMATCH($E230,""Demon""),""Demon "","""")&amp;IF(REGEXMATCH($E230,""Divine""),""Divine "","""")&amp;IF(REGEXMAT"&amp;"CH($E230,""Elemental""),""Elemental "","""")&amp;IF(REGEXMATCH($E230,""Nature""),""Nature "","""")&amp;IF(REGEXMATCH($E230,""Mortal""),""Mortal "","""")&amp;IF(REGEXMATCH($E230,""Void""),""Void "","""")&amp;IF(REGEXMATCH($E230,""Unearth|Ambush|Ritual|unearth|ambush|ritua"&amp;"l""),""Unearth "","""")&amp;IF(REGEXMATCH($E230,""Unleash|Crystallize|all realms|Crystalborn|crystallize""),""Ramp "","""")&amp;IF(REGEXMATCH($E230,""Demon""),""Demon "","""")&amp;IF(REGEXMATCH($E230,""bury|buries|Bury|Buries|Cleanse|puts a Unit|trail|Trail""),""Cont"&amp;"rol "","""")&amp;IF(REGEXMATCH($E230,""Bounce|Return|Copy|bounce|return|copy""),""Copy "","""")&amp;IF(REGEXMATCH($E230,""conquer|Conquer|leading in lanes|lead by""),""Aggro "","""")&amp;IF(REGEXMATCH($E230,""Ascend|ascend""),""Ascend "","""")&amp;IF(REGEXMATCH($E230,""B"&amp;"ury .+ Crystal|.*crystal.*bury""),""Empty-Crystal"","""")&amp;IF(REGEXMATCH($E230,""Move|move""),""Move"","""")"),"Mortal Control Empty-Crystal")</f>
        <v>Mortal Control Empty-Crystal</v>
      </c>
      <c r="G230" s="12" t="s">
        <v>1028</v>
      </c>
      <c r="H230" s="11">
        <v>1.0</v>
      </c>
      <c r="I230" s="11" t="s">
        <v>1029</v>
      </c>
      <c r="J230" s="11" t="s">
        <v>50</v>
      </c>
      <c r="L230" s="13" t="str">
        <f>IFERROR(__xludf.DUMMYFUNCTION("IF(REGEXMATCH($B230,L$1),$D230,"""")"),"")</f>
        <v/>
      </c>
      <c r="M230" s="13" t="str">
        <f>IFERROR(__xludf.DUMMYFUNCTION("IF(REGEXMATCH($B230,M$1),$D230,"""")"),"")</f>
        <v/>
      </c>
      <c r="N230" s="13" t="str">
        <f>IFERROR(__xludf.DUMMYFUNCTION("IF(REGEXMATCH($B230,N$1),$D230,"""")"),"Angel Undead")</f>
        <v>Angel Undead</v>
      </c>
      <c r="O230" s="13" t="str">
        <f>IFERROR(__xludf.DUMMYFUNCTION("IF(REGEXMATCH($B230,O$1),$D230,"""")"),"Angel Undead")</f>
        <v>Angel Undead</v>
      </c>
      <c r="P230" s="13" t="str">
        <f>IFERROR(__xludf.DUMMYFUNCTION("IF(REGEXMATCH($B230,P$1),$D230,"""")"),"")</f>
        <v/>
      </c>
      <c r="Q230" s="13">
        <f>IFERROR(__xludf.DUMMYFUNCTION("IF($A230="""","""",LEN(REGEXREPLACE($I230,"",\s?"","""")))"),4.0)</f>
        <v>4</v>
      </c>
      <c r="S230" s="13"/>
      <c r="T230" s="13"/>
      <c r="U230" s="13"/>
      <c r="V230" s="13"/>
      <c r="W230" s="13"/>
      <c r="X230" s="13"/>
      <c r="Y230" s="13"/>
      <c r="Z230" s="13"/>
      <c r="AA230" s="13"/>
      <c r="AB230" s="13"/>
    </row>
    <row r="231" hidden="1">
      <c r="A231" s="10" t="s">
        <v>1030</v>
      </c>
      <c r="B231" s="45" t="s">
        <v>12</v>
      </c>
      <c r="C231" s="11">
        <v>2.0</v>
      </c>
      <c r="D231" s="11" t="s">
        <v>519</v>
      </c>
      <c r="E231" s="10" t="s">
        <v>1031</v>
      </c>
      <c r="F231" s="10" t="str">
        <f>IFERROR(__xludf.DUMMYFUNCTION("IF(REGEXMATCH($E231,""Wizard""),""Wizard "","""")&amp;IF(REGEXMATCH($E231,""Construct""),""Construct "","""")&amp;IF(REGEXMATCH($E231,""Insect""),""Insect "","""")&amp;IF(REGEXMATCH($E231,""Dragon""),""Dragon "","""")&amp;IF(REGEXMATCH($E231,""Human""),""Human "","""")&amp;I"&amp;"F(REGEXMATCH($E231,""Hunter""),""Hunter "","""")&amp;IF(REGEXMATCH($E231,""Animal""),""Animal "","""")&amp;IF(REGEXMATCH($E231,""Undead""),""Undead "","""")&amp;IF(REGEXMATCH($E231,""Plant""),""Plant "","""")&amp;IF(REGEXMATCH($E231,""Dinosaur""),""Dinosaur "","""")&amp;IF(R"&amp;"EGEXMATCH($E231,""Warrior""),""Warrior "","""")&amp;IF(REGEXMATCH($E231,""Spirit""),""Spirit "","""")&amp;IF(REGEXMATCH($E231,""Angel""),""Angel "","""")&amp;IF(REGEXMATCH($E231,""Demon""),""Demon "","""")&amp;IF(REGEXMATCH($E231,""Divine""),""Divine "","""")&amp;IF(REGEXMAT"&amp;"CH($E231,""Elemental""),""Elemental "","""")&amp;IF(REGEXMATCH($E231,""Nature""),""Nature "","""")&amp;IF(REGEXMATCH($E231,""Mortal""),""Mortal "","""")&amp;IF(REGEXMATCH($E231,""Void""),""Void "","""")&amp;IF(REGEXMATCH($E231,""Unearth|Ambush|Ritual|unearth|ambush|ritua"&amp;"l""),""Unearth "","""")&amp;IF(REGEXMATCH($E231,""Unleash|Crystallize|all realms|Crystalborn|crystallize""),""Ramp "","""")&amp;IF(REGEXMATCH($E231,""Demon""),""Demon "","""")&amp;IF(REGEXMATCH($E231,""bury|buries|Bury|Buries|Cleanse|puts a Unit|trail|Trail""),""Cont"&amp;"rol "","""")&amp;IF(REGEXMATCH($E231,""Bounce|Return|Copy|bounce|return|copy""),""Copy "","""")&amp;IF(REGEXMATCH($E231,""conquer|Conquer|leading in lanes|lead by""),""Aggro "","""")&amp;IF(REGEXMATCH($E231,""Ascend|ascend""),""Ascend "","""")&amp;IF(REGEXMATCH($E231,""B"&amp;"ury .+ Crystal|.*crystal.*bury""),""Empty-Crystal"","""")&amp;IF(REGEXMATCH($E231,""Move|move""),""Move"","""")"),"Nature ")</f>
        <v>Nature </v>
      </c>
      <c r="G231" s="12" t="s">
        <v>1032</v>
      </c>
      <c r="H231" s="11">
        <v>1.0</v>
      </c>
      <c r="I231" s="11" t="s">
        <v>960</v>
      </c>
      <c r="J231" s="11" t="s">
        <v>50</v>
      </c>
      <c r="L231" s="13" t="str">
        <f>IFERROR(__xludf.DUMMYFUNCTION("IF(REGEXMATCH($B231,L$1),$D231,"""")"),"")</f>
        <v/>
      </c>
      <c r="M231" s="13" t="str">
        <f>IFERROR(__xludf.DUMMYFUNCTION("IF(REGEXMATCH($B231,M$1),$D231,"""")"),"Insect")</f>
        <v>Insect</v>
      </c>
      <c r="N231" s="13" t="str">
        <f>IFERROR(__xludf.DUMMYFUNCTION("IF(REGEXMATCH($B231,N$1),$D231,"""")"),"")</f>
        <v/>
      </c>
      <c r="O231" s="13" t="str">
        <f>IFERROR(__xludf.DUMMYFUNCTION("IF(REGEXMATCH($B231,O$1),$D231,"""")"),"")</f>
        <v/>
      </c>
      <c r="P231" s="13" t="str">
        <f>IFERROR(__xludf.DUMMYFUNCTION("IF(REGEXMATCH($B231,P$1),$D231,"""")"),"")</f>
        <v/>
      </c>
      <c r="Q231" s="13">
        <f>IFERROR(__xludf.DUMMYFUNCTION("IF($A231="""","""",LEN(REGEXREPLACE($I231,"",\s?"","""")))"),3.0)</f>
        <v>3</v>
      </c>
      <c r="S231" s="13"/>
      <c r="T231" s="13"/>
      <c r="U231" s="13"/>
      <c r="V231" s="13"/>
      <c r="W231" s="13"/>
      <c r="X231" s="13"/>
      <c r="Y231" s="13"/>
      <c r="Z231" s="13"/>
      <c r="AA231" s="13"/>
      <c r="AB231" s="13"/>
    </row>
    <row r="232" hidden="1">
      <c r="A232" s="19" t="s">
        <v>1033</v>
      </c>
      <c r="B232" s="19" t="s">
        <v>12</v>
      </c>
      <c r="C232" s="18">
        <v>2.0</v>
      </c>
      <c r="D232" s="18" t="s">
        <v>139</v>
      </c>
      <c r="E232" s="19" t="s">
        <v>1034</v>
      </c>
      <c r="F232" s="10" t="str">
        <f>IFERROR(__xludf.DUMMYFUNCTION("IF(REGEXMATCH($E232,""Wizard""),""Wizard "","""")&amp;IF(REGEXMATCH($E232,""Construct""),""Construct "","""")&amp;IF(REGEXMATCH($E232,""Insect""),""Insect "","""")&amp;IF(REGEXMATCH($E232,""Dragon""),""Dragon "","""")&amp;IF(REGEXMATCH($E232,""Human""),""Human "","""")&amp;I"&amp;"F(REGEXMATCH($E232,""Hunter""),""Hunter "","""")&amp;IF(REGEXMATCH($E232,""Animal""),""Animal "","""")&amp;IF(REGEXMATCH($E232,""Undead""),""Undead "","""")&amp;IF(REGEXMATCH($E232,""Plant""),""Plant "","""")&amp;IF(REGEXMATCH($E232,""Dinosaur""),""Dinosaur "","""")&amp;IF(R"&amp;"EGEXMATCH($E232,""Warrior""),""Warrior "","""")&amp;IF(REGEXMATCH($E232,""Spirit""),""Spirit "","""")&amp;IF(REGEXMATCH($E232,""Angel""),""Angel "","""")&amp;IF(REGEXMATCH($E232,""Demon""),""Demon "","""")&amp;IF(REGEXMATCH($E232,""Divine""),""Divine "","""")&amp;IF(REGEXMAT"&amp;"CH($E232,""Elemental""),""Elemental "","""")&amp;IF(REGEXMATCH($E232,""Nature""),""Nature "","""")&amp;IF(REGEXMATCH($E232,""Mortal""),""Mortal "","""")&amp;IF(REGEXMATCH($E232,""Void""),""Void "","""")&amp;IF(REGEXMATCH($E232,""Unearth|Ambush|Ritual|unearth|ambush|ritua"&amp;"l""),""Unearth "","""")&amp;IF(REGEXMATCH($E232,""Unleash|Crystallize|all realms|Crystalborn|crystallize""),""Ramp "","""")&amp;IF(REGEXMATCH($E232,""Demon""),""Demon "","""")&amp;IF(REGEXMATCH($E232,""bury|buries|Bury|Buries|Cleanse|puts a Unit|trail|Trail""),""Cont"&amp;"rol "","""")&amp;IF(REGEXMATCH($E232,""Bounce|Return|Copy|bounce|return|copy""),""Copy "","""")&amp;IF(REGEXMATCH($E232,""conquer|Conquer|leading in lanes|lead by""),""Aggro "","""")&amp;IF(REGEXMATCH($E232,""Ascend|ascend""),""Ascend "","""")&amp;IF(REGEXMATCH($E232,""B"&amp;"ury .+ Crystal|.*crystal.*bury""),""Empty-Crystal"","""")&amp;IF(REGEXMATCH($E232,""Move|move""),""Move"","""")"),"Animal Ramp ")</f>
        <v>Animal Ramp </v>
      </c>
      <c r="G232" s="20" t="s">
        <v>1035</v>
      </c>
      <c r="H232" s="18">
        <v>6.0</v>
      </c>
      <c r="I232" s="18" t="s">
        <v>1036</v>
      </c>
      <c r="J232" s="18" t="s">
        <v>33</v>
      </c>
      <c r="L232" s="13" t="str">
        <f>IFERROR(__xludf.DUMMYFUNCTION("IF(REGEXMATCH($B232,L$1),$D232,"""")"),"")</f>
        <v/>
      </c>
      <c r="M232" s="13" t="str">
        <f>IFERROR(__xludf.DUMMYFUNCTION("IF(REGEXMATCH($B232,M$1),$D232,"""")"),"Animal")</f>
        <v>Animal</v>
      </c>
      <c r="N232" s="13" t="str">
        <f>IFERROR(__xludf.DUMMYFUNCTION("IF(REGEXMATCH($B232,N$1),$D232,"""")"),"")</f>
        <v/>
      </c>
      <c r="O232" s="13" t="str">
        <f>IFERROR(__xludf.DUMMYFUNCTION("IF(REGEXMATCH($B232,O$1),$D232,"""")"),"")</f>
        <v/>
      </c>
      <c r="P232" s="13" t="str">
        <f>IFERROR(__xludf.DUMMYFUNCTION("IF(REGEXMATCH($B232,P$1),$D232,"""")"),"")</f>
        <v/>
      </c>
      <c r="Q232" s="13">
        <f>IFERROR(__xludf.DUMMYFUNCTION("IF($A232="""","""",LEN(REGEXREPLACE($I232,"",\s?"","""")))"),6.0)</f>
        <v>6</v>
      </c>
      <c r="S232" s="13"/>
      <c r="T232" s="13"/>
      <c r="U232" s="13"/>
      <c r="V232" s="13"/>
      <c r="W232" s="13"/>
      <c r="X232" s="13"/>
      <c r="Y232" s="13"/>
      <c r="Z232" s="13"/>
      <c r="AA232" s="13"/>
      <c r="AB232" s="13"/>
    </row>
    <row r="233" hidden="1">
      <c r="A233" s="19" t="s">
        <v>1037</v>
      </c>
      <c r="B233" s="80" t="s">
        <v>12</v>
      </c>
      <c r="C233" s="18">
        <v>2.0</v>
      </c>
      <c r="D233" s="18" t="s">
        <v>195</v>
      </c>
      <c r="E233" s="19" t="s">
        <v>1038</v>
      </c>
      <c r="F233" s="10" t="str">
        <f>IFERROR(__xludf.DUMMYFUNCTION("IF(REGEXMATCH($E233,""Wizard""),""Wizard "","""")&amp;IF(REGEXMATCH($E233,""Construct""),""Construct "","""")&amp;IF(REGEXMATCH($E233,""Insect""),""Insect "","""")&amp;IF(REGEXMATCH($E233,""Dragon""),""Dragon "","""")&amp;IF(REGEXMATCH($E233,""Human""),""Human "","""")&amp;I"&amp;"F(REGEXMATCH($E233,""Hunter""),""Hunter "","""")&amp;IF(REGEXMATCH($E233,""Animal""),""Animal "","""")&amp;IF(REGEXMATCH($E233,""Undead""),""Undead "","""")&amp;IF(REGEXMATCH($E233,""Plant""),""Plant "","""")&amp;IF(REGEXMATCH($E233,""Dinosaur""),""Dinosaur "","""")&amp;IF(R"&amp;"EGEXMATCH($E233,""Warrior""),""Warrior "","""")&amp;IF(REGEXMATCH($E233,""Spirit""),""Spirit "","""")&amp;IF(REGEXMATCH($E233,""Angel""),""Angel "","""")&amp;IF(REGEXMATCH($E233,""Demon""),""Demon "","""")&amp;IF(REGEXMATCH($E233,""Divine""),""Divine "","""")&amp;IF(REGEXMAT"&amp;"CH($E233,""Elemental""),""Elemental "","""")&amp;IF(REGEXMATCH($E233,""Nature""),""Nature "","""")&amp;IF(REGEXMATCH($E233,""Mortal""),""Mortal "","""")&amp;IF(REGEXMATCH($E233,""Void""),""Void "","""")&amp;IF(REGEXMATCH($E233,""Unearth|Ambush|Ritual|unearth|ambush|ritua"&amp;"l""),""Unearth "","""")&amp;IF(REGEXMATCH($E233,""Unleash|Crystallize|all realms|Crystalborn|crystallize""),""Ramp "","""")&amp;IF(REGEXMATCH($E233,""Demon""),""Demon "","""")&amp;IF(REGEXMATCH($E233,""bury|buries|Bury|Buries|Cleanse|puts a Unit|trail|Trail""),""Cont"&amp;"rol "","""")&amp;IF(REGEXMATCH($E233,""Bounce|Return|Copy|bounce|return|copy""),""Copy "","""")&amp;IF(REGEXMATCH($E233,""conquer|Conquer|leading in lanes|lead by""),""Aggro "","""")&amp;IF(REGEXMATCH($E233,""Ascend|ascend""),""Ascend "","""")&amp;IF(REGEXMATCH($E233,""B"&amp;"ury .+ Crystal|.*crystal.*bury""),""Empty-Crystal"","""")&amp;IF(REGEXMATCH($E233,""Move|move""),""Move"","""")"),"Animal ")</f>
        <v>Animal </v>
      </c>
      <c r="G233" s="20" t="s">
        <v>799</v>
      </c>
      <c r="H233" s="18">
        <v>3.0</v>
      </c>
      <c r="I233" s="18" t="s">
        <v>1014</v>
      </c>
      <c r="J233" s="18" t="s">
        <v>50</v>
      </c>
      <c r="L233" s="13" t="str">
        <f>IFERROR(__xludf.DUMMYFUNCTION("IF(REGEXMATCH($B233,L$1),$D233,"""")"),"")</f>
        <v/>
      </c>
      <c r="M233" s="13" t="str">
        <f>IFERROR(__xludf.DUMMYFUNCTION("IF(REGEXMATCH($B233,M$1),$D233,"""")"),"Animal Hunter")</f>
        <v>Animal Hunter</v>
      </c>
      <c r="N233" s="13" t="str">
        <f>IFERROR(__xludf.DUMMYFUNCTION("IF(REGEXMATCH($B233,N$1),$D233,"""")"),"")</f>
        <v/>
      </c>
      <c r="O233" s="13" t="str">
        <f>IFERROR(__xludf.DUMMYFUNCTION("IF(REGEXMATCH($B233,O$1),$D233,"""")"),"")</f>
        <v/>
      </c>
      <c r="P233" s="13" t="str">
        <f>IFERROR(__xludf.DUMMYFUNCTION("IF(REGEXMATCH($B233,P$1),$D233,"""")"),"")</f>
        <v/>
      </c>
      <c r="Q233" s="13">
        <f>IFERROR(__xludf.DUMMYFUNCTION("IF($A233="""","""",LEN(REGEXREPLACE($I233,"",\s?"","""")))"),5.0)</f>
        <v>5</v>
      </c>
      <c r="S233" s="13"/>
      <c r="T233" s="13"/>
      <c r="U233" s="13"/>
      <c r="V233" s="13"/>
      <c r="W233" s="13"/>
      <c r="X233" s="13"/>
      <c r="Y233" s="13"/>
      <c r="Z233" s="13"/>
      <c r="AA233" s="13"/>
      <c r="AB233" s="13"/>
    </row>
    <row r="234" hidden="1">
      <c r="A234" s="19" t="s">
        <v>1039</v>
      </c>
      <c r="B234" s="80" t="s">
        <v>12</v>
      </c>
      <c r="C234" s="18">
        <v>0.0</v>
      </c>
      <c r="D234" s="18" t="s">
        <v>221</v>
      </c>
      <c r="E234" s="19" t="s">
        <v>1040</v>
      </c>
      <c r="F234" s="10" t="str">
        <f>IFERROR(__xludf.DUMMYFUNCTION("IF(REGEXMATCH($E234,""Wizard""),""Wizard "","""")&amp;IF(REGEXMATCH($E234,""Construct""),""Construct "","""")&amp;IF(REGEXMATCH($E234,""Insect""),""Insect "","""")&amp;IF(REGEXMATCH($E234,""Dragon""),""Dragon "","""")&amp;IF(REGEXMATCH($E234,""Human""),""Human "","""")&amp;I"&amp;"F(REGEXMATCH($E234,""Hunter""),""Hunter "","""")&amp;IF(REGEXMATCH($E234,""Animal""),""Animal "","""")&amp;IF(REGEXMATCH($E234,""Undead""),""Undead "","""")&amp;IF(REGEXMATCH($E234,""Plant""),""Plant "","""")&amp;IF(REGEXMATCH($E234,""Dinosaur""),""Dinosaur "","""")&amp;IF(R"&amp;"EGEXMATCH($E234,""Warrior""),""Warrior "","""")&amp;IF(REGEXMATCH($E234,""Spirit""),""Spirit "","""")&amp;IF(REGEXMATCH($E234,""Angel""),""Angel "","""")&amp;IF(REGEXMATCH($E234,""Demon""),""Demon "","""")&amp;IF(REGEXMATCH($E234,""Divine""),""Divine "","""")&amp;IF(REGEXMAT"&amp;"CH($E234,""Elemental""),""Elemental "","""")&amp;IF(REGEXMATCH($E234,""Nature""),""Nature "","""")&amp;IF(REGEXMATCH($E234,""Mortal""),""Mortal "","""")&amp;IF(REGEXMATCH($E234,""Void""),""Void "","""")&amp;IF(REGEXMATCH($E234,""Unearth|Ambush|Ritual|unearth|ambush|ritua"&amp;"l""),""Unearth "","""")&amp;IF(REGEXMATCH($E234,""Unleash|Crystallize|all realms|Crystalborn|crystallize""),""Ramp "","""")&amp;IF(REGEXMATCH($E234,""Demon""),""Demon "","""")&amp;IF(REGEXMATCH($E234,""bury|buries|Bury|Buries|Cleanse|puts a Unit|trail|Trail""),""Cont"&amp;"rol "","""")&amp;IF(REGEXMATCH($E234,""Bounce|Return|Copy|bounce|return|copy""),""Copy "","""")&amp;IF(REGEXMATCH($E234,""conquer|Conquer|leading in lanes|lead by""),""Aggro "","""")&amp;IF(REGEXMATCH($E234,""Ascend|ascend""),""Ascend "","""")&amp;IF(REGEXMATCH($E234,""B"&amp;"ury .+ Crystal|.*crystal.*bury""),""Empty-Crystal"","""")&amp;IF(REGEXMATCH($E234,""Move|move""),""Move"","""")"),"Ramp Aggro ")</f>
        <v>Ramp Aggro </v>
      </c>
      <c r="G234" s="20" t="s">
        <v>1041</v>
      </c>
      <c r="H234" s="11">
        <v>3.0</v>
      </c>
      <c r="I234" s="11" t="s">
        <v>1042</v>
      </c>
      <c r="J234" s="11" t="s">
        <v>33</v>
      </c>
      <c r="L234" s="13" t="str">
        <f>IFERROR(__xludf.DUMMYFUNCTION("IF(REGEXMATCH($B234,L$1),$D234,"""")"),"")</f>
        <v/>
      </c>
      <c r="M234" s="13" t="str">
        <f>IFERROR(__xludf.DUMMYFUNCTION("IF(REGEXMATCH($B234,M$1),$D234,"""")"),"Human Hunter")</f>
        <v>Human Hunter</v>
      </c>
      <c r="N234" s="13" t="str">
        <f>IFERROR(__xludf.DUMMYFUNCTION("IF(REGEXMATCH($B234,N$1),$D234,"""")"),"")</f>
        <v/>
      </c>
      <c r="O234" s="13" t="str">
        <f>IFERROR(__xludf.DUMMYFUNCTION("IF(REGEXMATCH($B234,O$1),$D234,"""")"),"")</f>
        <v/>
      </c>
      <c r="P234" s="13" t="str">
        <f>IFERROR(__xludf.DUMMYFUNCTION("IF(REGEXMATCH($B234,P$1),$D234,"""")"),"")</f>
        <v/>
      </c>
      <c r="Q234" s="13">
        <f>IFERROR(__xludf.DUMMYFUNCTION("IF($A234="""","""",LEN(REGEXREPLACE($I234,"",\s?"","""")))"),3.0)</f>
        <v>3</v>
      </c>
      <c r="S234" s="13"/>
      <c r="T234" s="13"/>
      <c r="U234" s="13"/>
      <c r="V234" s="13"/>
      <c r="W234" s="13"/>
      <c r="X234" s="13"/>
      <c r="Y234" s="13"/>
      <c r="Z234" s="13"/>
      <c r="AA234" s="13"/>
      <c r="AB234" s="13"/>
    </row>
    <row r="235" hidden="1">
      <c r="A235" s="19" t="s">
        <v>1043</v>
      </c>
      <c r="B235" s="19" t="s">
        <v>12</v>
      </c>
      <c r="C235" s="18">
        <v>2.0</v>
      </c>
      <c r="D235" s="18" t="s">
        <v>1044</v>
      </c>
      <c r="E235" s="19" t="s">
        <v>1045</v>
      </c>
      <c r="F235" s="10" t="str">
        <f>IFERROR(__xludf.DUMMYFUNCTION("IF(REGEXMATCH($E235,""Wizard""),""Wizard "","""")&amp;IF(REGEXMATCH($E235,""Construct""),""Construct "","""")&amp;IF(REGEXMATCH($E235,""Insect""),""Insect "","""")&amp;IF(REGEXMATCH($E235,""Dragon""),""Dragon "","""")&amp;IF(REGEXMATCH($E235,""Human""),""Human "","""")&amp;I"&amp;"F(REGEXMATCH($E235,""Hunter""),""Hunter "","""")&amp;IF(REGEXMATCH($E235,""Animal""),""Animal "","""")&amp;IF(REGEXMATCH($E235,""Undead""),""Undead "","""")&amp;IF(REGEXMATCH($E235,""Plant""),""Plant "","""")&amp;IF(REGEXMATCH($E235,""Dinosaur""),""Dinosaur "","""")&amp;IF(R"&amp;"EGEXMATCH($E235,""Warrior""),""Warrior "","""")&amp;IF(REGEXMATCH($E235,""Spirit""),""Spirit "","""")&amp;IF(REGEXMATCH($E235,""Angel""),""Angel "","""")&amp;IF(REGEXMATCH($E235,""Demon""),""Demon "","""")&amp;IF(REGEXMATCH($E235,""Divine""),""Divine "","""")&amp;IF(REGEXMAT"&amp;"CH($E235,""Elemental""),""Elemental "","""")&amp;IF(REGEXMATCH($E235,""Nature""),""Nature "","""")&amp;IF(REGEXMATCH($E235,""Mortal""),""Mortal "","""")&amp;IF(REGEXMATCH($E235,""Void""),""Void "","""")&amp;IF(REGEXMATCH($E235,""Unearth|Ambush|Ritual|unearth|ambush|ritua"&amp;"l""),""Unearth "","""")&amp;IF(REGEXMATCH($E235,""Unleash|Crystallize|all realms|Crystalborn|crystallize""),""Ramp "","""")&amp;IF(REGEXMATCH($E235,""Demon""),""Demon "","""")&amp;IF(REGEXMATCH($E235,""bury|buries|Bury|Buries|Cleanse|puts a Unit|trail|Trail""),""Cont"&amp;"rol "","""")&amp;IF(REGEXMATCH($E235,""Bounce|Return|Copy|bounce|return|copy""),""Copy "","""")&amp;IF(REGEXMATCH($E235,""conquer|Conquer|leading in lanes|lead by""),""Aggro "","""")&amp;IF(REGEXMATCH($E235,""Ascend|ascend""),""Ascend "","""")&amp;IF(REGEXMATCH($E235,""B"&amp;"ury .+ Crystal|.*crystal.*bury""),""Empty-Crystal"","""")&amp;IF(REGEXMATCH($E235,""Move|move""),""Move"","""")"),"Dinosaur Nature Ramp ")</f>
        <v>Dinosaur Nature Ramp </v>
      </c>
      <c r="G235" s="20" t="s">
        <v>1046</v>
      </c>
      <c r="H235" s="18">
        <v>6.0</v>
      </c>
      <c r="I235" s="18" t="s">
        <v>1036</v>
      </c>
      <c r="J235" s="18" t="s">
        <v>33</v>
      </c>
      <c r="L235" s="13" t="str">
        <f>IFERROR(__xludf.DUMMYFUNCTION("IF(REGEXMATCH($B235,L$1),$D235,"""")"),"")</f>
        <v/>
      </c>
      <c r="M235" s="13" t="str">
        <f>IFERROR(__xludf.DUMMYFUNCTION("IF(REGEXMATCH($B235,M$1),$D235,"""")"),"Dinosaur Spirit")</f>
        <v>Dinosaur Spirit</v>
      </c>
      <c r="N235" s="13" t="str">
        <f>IFERROR(__xludf.DUMMYFUNCTION("IF(REGEXMATCH($B235,N$1),$D235,"""")"),"")</f>
        <v/>
      </c>
      <c r="O235" s="13" t="str">
        <f>IFERROR(__xludf.DUMMYFUNCTION("IF(REGEXMATCH($B235,O$1),$D235,"""")"),"")</f>
        <v/>
      </c>
      <c r="P235" s="13" t="str">
        <f>IFERROR(__xludf.DUMMYFUNCTION("IF(REGEXMATCH($B235,P$1),$D235,"""")"),"")</f>
        <v/>
      </c>
      <c r="Q235" s="13">
        <f>IFERROR(__xludf.DUMMYFUNCTION("IF($A235="""","""",LEN(REGEXREPLACE($I235,"",\s?"","""")))"),6.0)</f>
        <v>6</v>
      </c>
      <c r="S235" s="13"/>
      <c r="T235" s="13"/>
      <c r="U235" s="13"/>
      <c r="V235" s="13"/>
      <c r="W235" s="13"/>
      <c r="X235" s="13"/>
      <c r="Y235" s="13"/>
      <c r="Z235" s="13"/>
      <c r="AA235" s="13"/>
      <c r="AB235" s="13"/>
    </row>
    <row r="236">
      <c r="A236" s="10" t="s">
        <v>1047</v>
      </c>
      <c r="B236" s="10" t="s">
        <v>913</v>
      </c>
      <c r="C236" s="11">
        <v>1.0</v>
      </c>
      <c r="D236" s="11" t="s">
        <v>1048</v>
      </c>
      <c r="E236" s="10"/>
      <c r="F236" s="10" t="str">
        <f>IFERROR(__xludf.DUMMYFUNCTION("IF(REGEXMATCH($E236,""Wizard""),""Wizard "","""")&amp;IF(REGEXMATCH($E236,""Construct""),""Construct "","""")&amp;IF(REGEXMATCH($E236,""Insect""),""Insect "","""")&amp;IF(REGEXMATCH($E236,""Dragon""),""Dragon "","""")&amp;IF(REGEXMATCH($E236,""Human""),""Human "","""")&amp;I"&amp;"F(REGEXMATCH($E236,""Hunter""),""Hunter "","""")&amp;IF(REGEXMATCH($E236,""Animal""),""Animal "","""")&amp;IF(REGEXMATCH($E236,""Undead""),""Undead "","""")&amp;IF(REGEXMATCH($E236,""Plant""),""Plant "","""")&amp;IF(REGEXMATCH($E236,""Dinosaur""),""Dinosaur "","""")&amp;IF(R"&amp;"EGEXMATCH($E236,""Warrior""),""Warrior "","""")&amp;IF(REGEXMATCH($E236,""Spirit""),""Spirit "","""")&amp;IF(REGEXMATCH($E236,""Angel""),""Angel "","""")&amp;IF(REGEXMATCH($E236,""Demon""),""Demon "","""")&amp;IF(REGEXMATCH($E236,""Divine""),""Divine "","""")&amp;IF(REGEXMAT"&amp;"CH($E236,""Elemental""),""Elemental "","""")&amp;IF(REGEXMATCH($E236,""Nature""),""Nature "","""")&amp;IF(REGEXMATCH($E236,""Mortal""),""Mortal "","""")&amp;IF(REGEXMATCH($E236,""Void""),""Void "","""")&amp;IF(REGEXMATCH($E236,""Unearth|Ambush|Ritual|unearth|ambush|ritua"&amp;"l""),""Unearth "","""")&amp;IF(REGEXMATCH($E236,""Unleash|Crystallize|all realms|Crystalborn|crystallize""),""Ramp "","""")&amp;IF(REGEXMATCH($E236,""Demon""),""Demon "","""")&amp;IF(REGEXMATCH($E236,""bury|buries|Bury|Buries|Cleanse|puts a Unit|trail|Trail""),""Cont"&amp;"rol "","""")&amp;IF(REGEXMATCH($E236,""Bounce|Return|Copy|bounce|return|copy""),""Copy "","""")&amp;IF(REGEXMATCH($E236,""conquer|Conquer|leading in lanes|lead by""),""Aggro "","""")&amp;IF(REGEXMATCH($E236,""Ascend|ascend""),""Ascend "","""")&amp;IF(REGEXMATCH($E236,""B"&amp;"ury .+ Crystal|.*crystal.*bury""),""Empty-Crystal"","""")&amp;IF(REGEXMATCH($E236,""Move|move""),""Move"","""")"),"")</f>
        <v/>
      </c>
      <c r="G236" s="12" t="s">
        <v>1049</v>
      </c>
      <c r="H236" s="11">
        <v>2.0</v>
      </c>
      <c r="I236" s="11" t="s">
        <v>944</v>
      </c>
      <c r="J236" s="11" t="s">
        <v>42</v>
      </c>
      <c r="L236" s="13" t="str">
        <f>IFERROR(__xludf.DUMMYFUNCTION("IF(REGEXMATCH($B236,L$1),$D236,"""")"),"")</f>
        <v/>
      </c>
      <c r="M236" s="13" t="str">
        <f>IFERROR(__xludf.DUMMYFUNCTION("IF(REGEXMATCH($B236,M$1),$D236,"""")"),"")</f>
        <v/>
      </c>
      <c r="N236" s="13" t="str">
        <f>IFERROR(__xludf.DUMMYFUNCTION("IF(REGEXMATCH($B236,N$1),$D236,"""")"),"Bannerbearer Human Undead")</f>
        <v>Bannerbearer Human Undead</v>
      </c>
      <c r="O236" s="13" t="str">
        <f>IFERROR(__xludf.DUMMYFUNCTION("IF(REGEXMATCH($B236,O$1),$D236,"""")"),"Bannerbearer Human Undead")</f>
        <v>Bannerbearer Human Undead</v>
      </c>
      <c r="P236" s="13" t="str">
        <f>IFERROR(__xludf.DUMMYFUNCTION("IF(REGEXMATCH($B236,P$1),$D236,"""")"),"")</f>
        <v/>
      </c>
      <c r="Q236" s="13">
        <f>IFERROR(__xludf.DUMMYFUNCTION("IF($A236="""","""",LEN(REGEXREPLACE($I236,"",\s?"","""")))"),2.0)</f>
        <v>2</v>
      </c>
      <c r="S236" s="13"/>
      <c r="T236" s="13"/>
      <c r="U236" s="13"/>
      <c r="V236" s="13"/>
      <c r="W236" s="13"/>
      <c r="X236" s="13"/>
      <c r="Y236" s="13"/>
      <c r="Z236" s="13"/>
      <c r="AA236" s="13"/>
      <c r="AB236" s="13"/>
    </row>
    <row r="237">
      <c r="A237" s="10" t="s">
        <v>1050</v>
      </c>
      <c r="B237" s="10" t="s">
        <v>913</v>
      </c>
      <c r="C237" s="11">
        <v>1.0</v>
      </c>
      <c r="D237" s="25" t="s">
        <v>920</v>
      </c>
      <c r="E237" s="10" t="s">
        <v>1051</v>
      </c>
      <c r="F237" s="10" t="str">
        <f>IFERROR(__xludf.DUMMYFUNCTION("IF(REGEXMATCH($E237,""Wizard""),""Wizard "","""")&amp;IF(REGEXMATCH($E237,""Construct""),""Construct "","""")&amp;IF(REGEXMATCH($E237,""Insect""),""Insect "","""")&amp;IF(REGEXMATCH($E237,""Dragon""),""Dragon "","""")&amp;IF(REGEXMATCH($E237,""Human""),""Human "","""")&amp;I"&amp;"F(REGEXMATCH($E237,""Hunter""),""Hunter "","""")&amp;IF(REGEXMATCH($E237,""Animal""),""Animal "","""")&amp;IF(REGEXMATCH($E237,""Undead""),""Undead "","""")&amp;IF(REGEXMATCH($E237,""Plant""),""Plant "","""")&amp;IF(REGEXMATCH($E237,""Dinosaur""),""Dinosaur "","""")&amp;IF(R"&amp;"EGEXMATCH($E237,""Warrior""),""Warrior "","""")&amp;IF(REGEXMATCH($E237,""Spirit""),""Spirit "","""")&amp;IF(REGEXMATCH($E237,""Angel""),""Angel "","""")&amp;IF(REGEXMATCH($E237,""Demon""),""Demon "","""")&amp;IF(REGEXMATCH($E237,""Divine""),""Divine "","""")&amp;IF(REGEXMAT"&amp;"CH($E237,""Elemental""),""Elemental "","""")&amp;IF(REGEXMATCH($E237,""Nature""),""Nature "","""")&amp;IF(REGEXMATCH($E237,""Mortal""),""Mortal "","""")&amp;IF(REGEXMATCH($E237,""Void""),""Void "","""")&amp;IF(REGEXMATCH($E237,""Unearth|Ambush|Ritual|unearth|ambush|ritua"&amp;"l""),""Unearth "","""")&amp;IF(REGEXMATCH($E237,""Unleash|Crystallize|all realms|Crystalborn|crystallize""),""Ramp "","""")&amp;IF(REGEXMATCH($E237,""Demon""),""Demon "","""")&amp;IF(REGEXMATCH($E237,""bury|buries|Bury|Buries|Cleanse|puts a Unit|trail|Trail""),""Cont"&amp;"rol "","""")&amp;IF(REGEXMATCH($E237,""Bounce|Return|Copy|bounce|return|copy""),""Copy "","""")&amp;IF(REGEXMATCH($E237,""conquer|Conquer|leading in lanes|lead by""),""Aggro "","""")&amp;IF(REGEXMATCH($E237,""Ascend|ascend""),""Ascend "","""")&amp;IF(REGEXMATCH($E237,""B"&amp;"ury .+ Crystal|.*crystal.*bury""),""Empty-Crystal"","""")&amp;IF(REGEXMATCH($E237,""Move|move""),""Move"","""")"),"Undead Spirit ")</f>
        <v>Undead Spirit </v>
      </c>
      <c r="G237" s="12" t="s">
        <v>1052</v>
      </c>
      <c r="H237" s="11">
        <v>2.0</v>
      </c>
      <c r="I237" s="11" t="s">
        <v>1053</v>
      </c>
      <c r="J237" s="11" t="s">
        <v>33</v>
      </c>
      <c r="L237" s="13" t="str">
        <f>IFERROR(__xludf.DUMMYFUNCTION("IF(REGEXMATCH($B237,L$1),$D237,"""")"),"")</f>
        <v/>
      </c>
      <c r="M237" s="13" t="str">
        <f>IFERROR(__xludf.DUMMYFUNCTION("IF(REGEXMATCH($B237,M$1),$D237,"""")"),"")</f>
        <v/>
      </c>
      <c r="N237" s="13" t="str">
        <f>IFERROR(__xludf.DUMMYFUNCTION("IF(REGEXMATCH($B237,N$1),$D237,"""")"),"Demon Wizard")</f>
        <v>Demon Wizard</v>
      </c>
      <c r="O237" s="13" t="str">
        <f>IFERROR(__xludf.DUMMYFUNCTION("IF(REGEXMATCH($B237,O$1),$D237,"""")"),"Demon Wizard")</f>
        <v>Demon Wizard</v>
      </c>
      <c r="P237" s="13" t="str">
        <f>IFERROR(__xludf.DUMMYFUNCTION("IF(REGEXMATCH($B237,P$1),$D237,"""")"),"")</f>
        <v/>
      </c>
      <c r="Q237" s="13">
        <f>IFERROR(__xludf.DUMMYFUNCTION("IF($A237="""","""",LEN(REGEXREPLACE($I237,"",\s?"","""")))"),5.0)</f>
        <v>5</v>
      </c>
      <c r="S237" s="13"/>
      <c r="T237" s="13"/>
      <c r="U237" s="13"/>
      <c r="V237" s="13"/>
      <c r="W237" s="13"/>
      <c r="X237" s="13"/>
      <c r="Y237" s="13"/>
      <c r="Z237" s="13"/>
      <c r="AA237" s="13"/>
      <c r="AB237" s="13"/>
    </row>
    <row r="238" hidden="1">
      <c r="A238" s="19" t="s">
        <v>1054</v>
      </c>
      <c r="B238" s="80" t="s">
        <v>12</v>
      </c>
      <c r="C238" s="18">
        <v>2.0</v>
      </c>
      <c r="D238" s="18" t="s">
        <v>772</v>
      </c>
      <c r="E238" s="19" t="s">
        <v>1055</v>
      </c>
      <c r="F238" s="10" t="str">
        <f>IFERROR(__xludf.DUMMYFUNCTION("IF(REGEXMATCH($E238,""Wizard""),""Wizard "","""")&amp;IF(REGEXMATCH($E238,""Construct""),""Construct "","""")&amp;IF(REGEXMATCH($E238,""Insect""),""Insect "","""")&amp;IF(REGEXMATCH($E238,""Dragon""),""Dragon "","""")&amp;IF(REGEXMATCH($E238,""Human""),""Human "","""")&amp;I"&amp;"F(REGEXMATCH($E238,""Hunter""),""Hunter "","""")&amp;IF(REGEXMATCH($E238,""Animal""),""Animal "","""")&amp;IF(REGEXMATCH($E238,""Undead""),""Undead "","""")&amp;IF(REGEXMATCH($E238,""Plant""),""Plant "","""")&amp;IF(REGEXMATCH($E238,""Dinosaur""),""Dinosaur "","""")&amp;IF(R"&amp;"EGEXMATCH($E238,""Warrior""),""Warrior "","""")&amp;IF(REGEXMATCH($E238,""Spirit""),""Spirit "","""")&amp;IF(REGEXMATCH($E238,""Angel""),""Angel "","""")&amp;IF(REGEXMATCH($E238,""Demon""),""Demon "","""")&amp;IF(REGEXMATCH($E238,""Divine""),""Divine "","""")&amp;IF(REGEXMAT"&amp;"CH($E238,""Elemental""),""Elemental "","""")&amp;IF(REGEXMATCH($E238,""Nature""),""Nature "","""")&amp;IF(REGEXMATCH($E238,""Mortal""),""Mortal "","""")&amp;IF(REGEXMATCH($E238,""Void""),""Void "","""")&amp;IF(REGEXMATCH($E238,""Unearth|Ambush|Ritual|unearth|ambush|ritua"&amp;"l""),""Unearth "","""")&amp;IF(REGEXMATCH($E238,""Unleash|Crystallize|all realms|Crystalborn|crystallize""),""Ramp "","""")&amp;IF(REGEXMATCH($E238,""Demon""),""Demon "","""")&amp;IF(REGEXMATCH($E238,""bury|buries|Bury|Buries|Cleanse|puts a Unit|trail|Trail""),""Cont"&amp;"rol "","""")&amp;IF(REGEXMATCH($E238,""Bounce|Return|Copy|bounce|return|copy""),""Copy "","""")&amp;IF(REGEXMATCH($E238,""conquer|Conquer|leading in lanes|lead by""),""Aggro "","""")&amp;IF(REGEXMATCH($E238,""Ascend|ascend""),""Ascend "","""")&amp;IF(REGEXMATCH($E238,""B"&amp;"ury .+ Crystal|.*crystal.*bury""),""Empty-Crystal"","""")&amp;IF(REGEXMATCH($E238,""Move|move""),""Move"","""")"),"")</f>
        <v/>
      </c>
      <c r="G238" s="20" t="s">
        <v>1056</v>
      </c>
      <c r="H238" s="18">
        <v>3.0</v>
      </c>
      <c r="I238" s="18" t="s">
        <v>993</v>
      </c>
      <c r="J238" s="18" t="s">
        <v>42</v>
      </c>
      <c r="L238" s="13" t="str">
        <f>IFERROR(__xludf.DUMMYFUNCTION("IF(REGEXMATCH($B238,L$1),$D238,"""")"),"")</f>
        <v/>
      </c>
      <c r="M238" s="13" t="str">
        <f>IFERROR(__xludf.DUMMYFUNCTION("IF(REGEXMATCH($B238,M$1),$D238,"""")"),"Dragon Plant")</f>
        <v>Dragon Plant</v>
      </c>
      <c r="N238" s="13" t="str">
        <f>IFERROR(__xludf.DUMMYFUNCTION("IF(REGEXMATCH($B238,N$1),$D238,"""")"),"")</f>
        <v/>
      </c>
      <c r="O238" s="13" t="str">
        <f>IFERROR(__xludf.DUMMYFUNCTION("IF(REGEXMATCH($B238,O$1),$D238,"""")"),"")</f>
        <v/>
      </c>
      <c r="P238" s="13" t="str">
        <f>IFERROR(__xludf.DUMMYFUNCTION("IF(REGEXMATCH($B238,P$1),$D238,"""")"),"")</f>
        <v/>
      </c>
      <c r="Q238" s="13">
        <f>IFERROR(__xludf.DUMMYFUNCTION("IF($A238="""","""",LEN(REGEXREPLACE($I238,"",\s?"","""")))"),4.0)</f>
        <v>4</v>
      </c>
      <c r="S238" s="13"/>
      <c r="T238" s="13"/>
      <c r="U238" s="13"/>
      <c r="V238" s="13"/>
      <c r="W238" s="13"/>
      <c r="X238" s="13"/>
      <c r="Y238" s="13"/>
      <c r="Z238" s="13"/>
      <c r="AA238" s="13"/>
      <c r="AB238" s="13"/>
    </row>
    <row r="239" hidden="1">
      <c r="A239" s="22" t="s">
        <v>1057</v>
      </c>
      <c r="B239" s="79" t="s">
        <v>12</v>
      </c>
      <c r="C239" s="11">
        <v>2.0</v>
      </c>
      <c r="D239" s="11" t="s">
        <v>991</v>
      </c>
      <c r="E239" s="19" t="s">
        <v>1058</v>
      </c>
      <c r="F239" s="10" t="str">
        <f>IFERROR(__xludf.DUMMYFUNCTION("IF(REGEXMATCH($E239,""Wizard""),""Wizard "","""")&amp;IF(REGEXMATCH($E239,""Construct""),""Construct "","""")&amp;IF(REGEXMATCH($E239,""Insect""),""Insect "","""")&amp;IF(REGEXMATCH($E239,""Dragon""),""Dragon "","""")&amp;IF(REGEXMATCH($E239,""Human""),""Human "","""")&amp;I"&amp;"F(REGEXMATCH($E239,""Hunter""),""Hunter "","""")&amp;IF(REGEXMATCH($E239,""Animal""),""Animal "","""")&amp;IF(REGEXMATCH($E239,""Undead""),""Undead "","""")&amp;IF(REGEXMATCH($E239,""Plant""),""Plant "","""")&amp;IF(REGEXMATCH($E239,""Dinosaur""),""Dinosaur "","""")&amp;IF(R"&amp;"EGEXMATCH($E239,""Warrior""),""Warrior "","""")&amp;IF(REGEXMATCH($E239,""Spirit""),""Spirit "","""")&amp;IF(REGEXMATCH($E239,""Angel""),""Angel "","""")&amp;IF(REGEXMATCH($E239,""Demon""),""Demon "","""")&amp;IF(REGEXMATCH($E239,""Divine""),""Divine "","""")&amp;IF(REGEXMAT"&amp;"CH($E239,""Elemental""),""Elemental "","""")&amp;IF(REGEXMATCH($E239,""Nature""),""Nature "","""")&amp;IF(REGEXMATCH($E239,""Mortal""),""Mortal "","""")&amp;IF(REGEXMATCH($E239,""Void""),""Void "","""")&amp;IF(REGEXMATCH($E239,""Unearth|Ambush|Ritual|unearth|ambush|ritua"&amp;"l""),""Unearth "","""")&amp;IF(REGEXMATCH($E239,""Unleash|Crystallize|all realms|Crystalborn|crystallize""),""Ramp "","""")&amp;IF(REGEXMATCH($E239,""Demon""),""Demon "","""")&amp;IF(REGEXMATCH($E239,""bury|buries|Bury|Buries|Cleanse|puts a Unit|trail|Trail""),""Cont"&amp;"rol "","""")&amp;IF(REGEXMATCH($E239,""Bounce|Return|Copy|bounce|return|copy""),""Copy "","""")&amp;IF(REGEXMATCH($E239,""conquer|Conquer|leading in lanes|lead by""),""Aggro "","""")&amp;IF(REGEXMATCH($E239,""Ascend|ascend""),""Ascend "","""")&amp;IF(REGEXMATCH($E239,""B"&amp;"ury .+ Crystal|.*crystal.*bury""),""Empty-Crystal"","""")&amp;IF(REGEXMATCH($E239,""Move|move""),""Move"","""")"),"Insect ")</f>
        <v>Insect </v>
      </c>
      <c r="G239" s="12" t="s">
        <v>1059</v>
      </c>
      <c r="H239" s="11">
        <v>3.0</v>
      </c>
      <c r="I239" s="11" t="s">
        <v>993</v>
      </c>
      <c r="J239" s="11" t="s">
        <v>42</v>
      </c>
      <c r="L239" s="13" t="str">
        <f>IFERROR(__xludf.DUMMYFUNCTION("IF(REGEXMATCH($B239,L$1),$D239,"""")"),"")</f>
        <v/>
      </c>
      <c r="M239" s="13" t="str">
        <f>IFERROR(__xludf.DUMMYFUNCTION("IF(REGEXMATCH($B239,M$1),$D239,"""")"),"Insect Plant")</f>
        <v>Insect Plant</v>
      </c>
      <c r="N239" s="13" t="str">
        <f>IFERROR(__xludf.DUMMYFUNCTION("IF(REGEXMATCH($B239,N$1),$D239,"""")"),"")</f>
        <v/>
      </c>
      <c r="O239" s="13" t="str">
        <f>IFERROR(__xludf.DUMMYFUNCTION("IF(REGEXMATCH($B239,O$1),$D239,"""")"),"")</f>
        <v/>
      </c>
      <c r="P239" s="13" t="str">
        <f>IFERROR(__xludf.DUMMYFUNCTION("IF(REGEXMATCH($B239,P$1),$D239,"""")"),"")</f>
        <v/>
      </c>
      <c r="Q239" s="13">
        <f>IFERROR(__xludf.DUMMYFUNCTION("IF($A239="""","""",LEN(REGEXREPLACE($I239,"",\s?"","""")))"),4.0)</f>
        <v>4</v>
      </c>
      <c r="S239" s="13"/>
      <c r="T239" s="13"/>
      <c r="U239" s="13"/>
      <c r="V239" s="13"/>
      <c r="W239" s="13"/>
      <c r="X239" s="13"/>
      <c r="Y239" s="13"/>
      <c r="Z239" s="13"/>
      <c r="AA239" s="13"/>
      <c r="AB239" s="13"/>
    </row>
    <row r="240">
      <c r="A240" s="10" t="s">
        <v>1060</v>
      </c>
      <c r="B240" s="10" t="s">
        <v>12</v>
      </c>
      <c r="C240" s="11">
        <v>1.0</v>
      </c>
      <c r="D240" s="25" t="s">
        <v>84</v>
      </c>
      <c r="E240" s="10" t="s">
        <v>1061</v>
      </c>
      <c r="F240" s="10" t="str">
        <f>IFERROR(__xludf.DUMMYFUNCTION("IF(REGEXMATCH($E240,""Wizard""),""Wizard "","""")&amp;IF(REGEXMATCH($E240,""Construct""),""Construct "","""")&amp;IF(REGEXMATCH($E240,""Insect""),""Insect "","""")&amp;IF(REGEXMATCH($E240,""Dragon""),""Dragon "","""")&amp;IF(REGEXMATCH($E240,""Human""),""Human "","""")&amp;I"&amp;"F(REGEXMATCH($E240,""Hunter""),""Hunter "","""")&amp;IF(REGEXMATCH($E240,""Animal""),""Animal "","""")&amp;IF(REGEXMATCH($E240,""Undead""),""Undead "","""")&amp;IF(REGEXMATCH($E240,""Plant""),""Plant "","""")&amp;IF(REGEXMATCH($E240,""Dinosaur""),""Dinosaur "","""")&amp;IF(R"&amp;"EGEXMATCH($E240,""Warrior""),""Warrior "","""")&amp;IF(REGEXMATCH($E240,""Spirit""),""Spirit "","""")&amp;IF(REGEXMATCH($E240,""Angel""),""Angel "","""")&amp;IF(REGEXMATCH($E240,""Demon""),""Demon "","""")&amp;IF(REGEXMATCH($E240,""Divine""),""Divine "","""")&amp;IF(REGEXMAT"&amp;"CH($E240,""Elemental""),""Elemental "","""")&amp;IF(REGEXMATCH($E240,""Nature""),""Nature "","""")&amp;IF(REGEXMATCH($E240,""Mortal""),""Mortal "","""")&amp;IF(REGEXMATCH($E240,""Void""),""Void "","""")&amp;IF(REGEXMATCH($E240,""Unearth|Ambush|Ritual|unearth|ambush|ritua"&amp;"l""),""Unearth "","""")&amp;IF(REGEXMATCH($E240,""Unleash|Crystallize|all realms|Crystalborn|crystallize""),""Ramp "","""")&amp;IF(REGEXMATCH($E240,""Demon""),""Demon "","""")&amp;IF(REGEXMATCH($E240,""bury|buries|Bury|Buries|Cleanse|puts a Unit|trail|Trail""),""Cont"&amp;"rol "","""")&amp;IF(REGEXMATCH($E240,""Bounce|Return|Copy|bounce|return|copy""),""Copy "","""")&amp;IF(REGEXMATCH($E240,""conquer|Conquer|leading in lanes|lead by""),""Aggro "","""")&amp;IF(REGEXMATCH($E240,""Ascend|ascend""),""Ascend "","""")&amp;IF(REGEXMATCH($E240,""B"&amp;"ury .+ Crystal|.*crystal.*bury""),""Empty-Crystal"","""")&amp;IF(REGEXMATCH($E240,""Move|move""),""Move"","""")"),"Plant ")</f>
        <v>Plant </v>
      </c>
      <c r="G240" s="12" t="s">
        <v>1062</v>
      </c>
      <c r="H240" s="11">
        <v>4.0</v>
      </c>
      <c r="I240" s="11" t="s">
        <v>1014</v>
      </c>
      <c r="J240" s="11" t="s">
        <v>33</v>
      </c>
      <c r="L240" s="13" t="str">
        <f>IFERROR(__xludf.DUMMYFUNCTION("IF(REGEXMATCH($B240,L$1),$D240,"""")"),"")</f>
        <v/>
      </c>
      <c r="M240" s="13" t="str">
        <f>IFERROR(__xludf.DUMMYFUNCTION("IF(REGEXMATCH($B240,M$1),$D240,"""")"),"Angel Plant")</f>
        <v>Angel Plant</v>
      </c>
      <c r="N240" s="13" t="str">
        <f>IFERROR(__xludf.DUMMYFUNCTION("IF(REGEXMATCH($B240,N$1),$D240,"""")"),"")</f>
        <v/>
      </c>
      <c r="O240" s="13" t="str">
        <f>IFERROR(__xludf.DUMMYFUNCTION("IF(REGEXMATCH($B240,O$1),$D240,"""")"),"")</f>
        <v/>
      </c>
      <c r="P240" s="13" t="str">
        <f>IFERROR(__xludf.DUMMYFUNCTION("IF(REGEXMATCH($B240,P$1),$D240,"""")"),"")</f>
        <v/>
      </c>
      <c r="Q240" s="13">
        <f>IFERROR(__xludf.DUMMYFUNCTION("IF($A240="""","""",LEN(REGEXREPLACE($I240,"",\s?"","""")))"),5.0)</f>
        <v>5</v>
      </c>
      <c r="S240" s="13"/>
      <c r="T240" s="13"/>
      <c r="U240" s="13"/>
      <c r="V240" s="13"/>
      <c r="W240" s="13"/>
      <c r="X240" s="13"/>
      <c r="Y240" s="13"/>
      <c r="Z240" s="13"/>
      <c r="AA240" s="13"/>
      <c r="AB240" s="13"/>
    </row>
    <row r="241">
      <c r="A241" s="22" t="s">
        <v>1063</v>
      </c>
      <c r="B241" s="10" t="s">
        <v>12</v>
      </c>
      <c r="C241" s="11">
        <v>1.0</v>
      </c>
      <c r="D241" s="11" t="s">
        <v>139</v>
      </c>
      <c r="E241" s="10" t="s">
        <v>1064</v>
      </c>
      <c r="F241" s="10" t="str">
        <f>IFERROR(__xludf.DUMMYFUNCTION("IF(REGEXMATCH($E241,""Wizard""),""Wizard "","""")&amp;IF(REGEXMATCH($E241,""Construct""),""Construct "","""")&amp;IF(REGEXMATCH($E241,""Insect""),""Insect "","""")&amp;IF(REGEXMATCH($E241,""Dragon""),""Dragon "","""")&amp;IF(REGEXMATCH($E241,""Human""),""Human "","""")&amp;I"&amp;"F(REGEXMATCH($E241,""Hunter""),""Hunter "","""")&amp;IF(REGEXMATCH($E241,""Animal""),""Animal "","""")&amp;IF(REGEXMATCH($E241,""Undead""),""Undead "","""")&amp;IF(REGEXMATCH($E241,""Plant""),""Plant "","""")&amp;IF(REGEXMATCH($E241,""Dinosaur""),""Dinosaur "","""")&amp;IF(R"&amp;"EGEXMATCH($E241,""Warrior""),""Warrior "","""")&amp;IF(REGEXMATCH($E241,""Spirit""),""Spirit "","""")&amp;IF(REGEXMATCH($E241,""Angel""),""Angel "","""")&amp;IF(REGEXMATCH($E241,""Demon""),""Demon "","""")&amp;IF(REGEXMATCH($E241,""Divine""),""Divine "","""")&amp;IF(REGEXMAT"&amp;"CH($E241,""Elemental""),""Elemental "","""")&amp;IF(REGEXMATCH($E241,""Nature""),""Nature "","""")&amp;IF(REGEXMATCH($E241,""Mortal""),""Mortal "","""")&amp;IF(REGEXMATCH($E241,""Void""),""Void "","""")&amp;IF(REGEXMATCH($E241,""Unearth|Ambush|Ritual|unearth|ambush|ritua"&amp;"l""),""Unearth "","""")&amp;IF(REGEXMATCH($E241,""Unleash|Crystallize|all realms|Crystalborn|crystallize""),""Ramp "","""")&amp;IF(REGEXMATCH($E241,""Demon""),""Demon "","""")&amp;IF(REGEXMATCH($E241,""bury|buries|Bury|Buries|Cleanse|puts a Unit|trail|Trail""),""Cont"&amp;"rol "","""")&amp;IF(REGEXMATCH($E241,""Bounce|Return|Copy|bounce|return|copy""),""Copy "","""")&amp;IF(REGEXMATCH($E241,""conquer|Conquer|leading in lanes|lead by""),""Aggro "","""")&amp;IF(REGEXMATCH($E241,""Ascend|ascend""),""Ascend "","""")&amp;IF(REGEXMATCH($E241,""B"&amp;"ury .+ Crystal|.*crystal.*bury""),""Empty-Crystal"","""")&amp;IF(REGEXMATCH($E241,""Move|move""),""Move"","""")"),"")</f>
        <v/>
      </c>
      <c r="G241" s="12" t="s">
        <v>1065</v>
      </c>
      <c r="H241" s="11">
        <v>4.0</v>
      </c>
      <c r="I241" s="11" t="s">
        <v>1014</v>
      </c>
      <c r="J241" s="11" t="s">
        <v>50</v>
      </c>
      <c r="L241" s="13" t="str">
        <f>IFERROR(__xludf.DUMMYFUNCTION("IF(REGEXMATCH($B241,L$1),$D241,"""")"),"")</f>
        <v/>
      </c>
      <c r="M241" s="13" t="str">
        <f>IFERROR(__xludf.DUMMYFUNCTION("IF(REGEXMATCH($B241,M$1),$D241,"""")"),"Animal")</f>
        <v>Animal</v>
      </c>
      <c r="N241" s="13" t="str">
        <f>IFERROR(__xludf.DUMMYFUNCTION("IF(REGEXMATCH($B241,N$1),$D241,"""")"),"")</f>
        <v/>
      </c>
      <c r="O241" s="13" t="str">
        <f>IFERROR(__xludf.DUMMYFUNCTION("IF(REGEXMATCH($B241,O$1),$D241,"""")"),"")</f>
        <v/>
      </c>
      <c r="P241" s="13" t="str">
        <f>IFERROR(__xludf.DUMMYFUNCTION("IF(REGEXMATCH($B241,P$1),$D241,"""")"),"")</f>
        <v/>
      </c>
      <c r="Q241" s="13">
        <f>IFERROR(__xludf.DUMMYFUNCTION("IF($A241="""","""",LEN(REGEXREPLACE($I241,"",\s?"","""")))"),5.0)</f>
        <v>5</v>
      </c>
      <c r="S241" s="13"/>
      <c r="T241" s="13"/>
      <c r="U241" s="13"/>
      <c r="V241" s="13"/>
      <c r="W241" s="13"/>
      <c r="X241" s="13"/>
      <c r="Y241" s="13"/>
      <c r="Z241" s="13"/>
      <c r="AA241" s="13"/>
      <c r="AB241" s="13"/>
    </row>
    <row r="242" hidden="1">
      <c r="A242" s="19" t="s">
        <v>1066</v>
      </c>
      <c r="B242" s="80" t="s">
        <v>12</v>
      </c>
      <c r="C242" s="18">
        <v>2.0</v>
      </c>
      <c r="D242" s="18" t="s">
        <v>1067</v>
      </c>
      <c r="E242" s="19" t="s">
        <v>1068</v>
      </c>
      <c r="F242" s="10" t="str">
        <f>IFERROR(__xludf.DUMMYFUNCTION("IF(REGEXMATCH($E242,""Wizard""),""Wizard "","""")&amp;IF(REGEXMATCH($E242,""Construct""),""Construct "","""")&amp;IF(REGEXMATCH($E242,""Insect""),""Insect "","""")&amp;IF(REGEXMATCH($E242,""Dragon""),""Dragon "","""")&amp;IF(REGEXMATCH($E242,""Human""),""Human "","""")&amp;I"&amp;"F(REGEXMATCH($E242,""Hunter""),""Hunter "","""")&amp;IF(REGEXMATCH($E242,""Animal""),""Animal "","""")&amp;IF(REGEXMATCH($E242,""Undead""),""Undead "","""")&amp;IF(REGEXMATCH($E242,""Plant""),""Plant "","""")&amp;IF(REGEXMATCH($E242,""Dinosaur""),""Dinosaur "","""")&amp;IF(R"&amp;"EGEXMATCH($E242,""Warrior""),""Warrior "","""")&amp;IF(REGEXMATCH($E242,""Spirit""),""Spirit "","""")&amp;IF(REGEXMATCH($E242,""Angel""),""Angel "","""")&amp;IF(REGEXMATCH($E242,""Demon""),""Demon "","""")&amp;IF(REGEXMATCH($E242,""Divine""),""Divine "","""")&amp;IF(REGEXMAT"&amp;"CH($E242,""Elemental""),""Elemental "","""")&amp;IF(REGEXMATCH($E242,""Nature""),""Nature "","""")&amp;IF(REGEXMATCH($E242,""Mortal""),""Mortal "","""")&amp;IF(REGEXMATCH($E242,""Void""),""Void "","""")&amp;IF(REGEXMATCH($E242,""Unearth|Ambush|Ritual|unearth|ambush|ritua"&amp;"l""),""Unearth "","""")&amp;IF(REGEXMATCH($E242,""Unleash|Crystallize|all realms|Crystalborn|crystallize""),""Ramp "","""")&amp;IF(REGEXMATCH($E242,""Demon""),""Demon "","""")&amp;IF(REGEXMATCH($E242,""bury|buries|Bury|Buries|Cleanse|puts a Unit|trail|Trail""),""Cont"&amp;"rol "","""")&amp;IF(REGEXMATCH($E242,""Bounce|Return|Copy|bounce|return|copy""),""Copy "","""")&amp;IF(REGEXMATCH($E242,""conquer|Conquer|leading in lanes|lead by""),""Aggro "","""")&amp;IF(REGEXMATCH($E242,""Ascend|ascend""),""Ascend "","""")&amp;IF(REGEXMATCH($E242,""B"&amp;"ury .+ Crystal|.*crystal.*bury""),""Empty-Crystal"","""")&amp;IF(REGEXMATCH($E242,""Move|move""),""Move"","""")"),"Hunter Unearth ")</f>
        <v>Hunter Unearth </v>
      </c>
      <c r="G242" s="20" t="s">
        <v>832</v>
      </c>
      <c r="H242" s="18">
        <v>4.0</v>
      </c>
      <c r="I242" s="18" t="s">
        <v>993</v>
      </c>
      <c r="J242" s="18" t="s">
        <v>42</v>
      </c>
      <c r="L242" s="13" t="str">
        <f>IFERROR(__xludf.DUMMYFUNCTION("IF(REGEXMATCH($B242,L$1),$D242,"""")"),"")</f>
        <v/>
      </c>
      <c r="M242" s="13" t="str">
        <f>IFERROR(__xludf.DUMMYFUNCTION("IF(REGEXMATCH($B242,M$1),$D242,"""")"),"Hunter Plant")</f>
        <v>Hunter Plant</v>
      </c>
      <c r="N242" s="13" t="str">
        <f>IFERROR(__xludf.DUMMYFUNCTION("IF(REGEXMATCH($B242,N$1),$D242,"""")"),"")</f>
        <v/>
      </c>
      <c r="O242" s="13" t="str">
        <f>IFERROR(__xludf.DUMMYFUNCTION("IF(REGEXMATCH($B242,O$1),$D242,"""")"),"")</f>
        <v/>
      </c>
      <c r="P242" s="13" t="str">
        <f>IFERROR(__xludf.DUMMYFUNCTION("IF(REGEXMATCH($B242,P$1),$D242,"""")"),"")</f>
        <v/>
      </c>
      <c r="Q242" s="13">
        <f>IFERROR(__xludf.DUMMYFUNCTION("IF($A242="""","""",LEN(REGEXREPLACE($I242,"",\s?"","""")))"),4.0)</f>
        <v>4</v>
      </c>
      <c r="S242" s="13"/>
      <c r="T242" s="13"/>
      <c r="U242" s="13"/>
      <c r="V242" s="13"/>
      <c r="W242" s="13"/>
      <c r="X242" s="13"/>
      <c r="Y242" s="13"/>
      <c r="Z242" s="13"/>
      <c r="AA242" s="13"/>
      <c r="AB242" s="13"/>
    </row>
    <row r="243">
      <c r="A243" s="19" t="s">
        <v>1069</v>
      </c>
      <c r="B243" s="19" t="s">
        <v>12</v>
      </c>
      <c r="C243" s="18">
        <v>1.0</v>
      </c>
      <c r="D243" s="18" t="s">
        <v>139</v>
      </c>
      <c r="E243" s="10" t="s">
        <v>1070</v>
      </c>
      <c r="F243" s="10" t="str">
        <f>IFERROR(__xludf.DUMMYFUNCTION("IF(REGEXMATCH($E243,""Wizard""),""Wizard "","""")&amp;IF(REGEXMATCH($E243,""Construct""),""Construct "","""")&amp;IF(REGEXMATCH($E243,""Insect""),""Insect "","""")&amp;IF(REGEXMATCH($E243,""Dragon""),""Dragon "","""")&amp;IF(REGEXMATCH($E243,""Human""),""Human "","""")&amp;I"&amp;"F(REGEXMATCH($E243,""Hunter""),""Hunter "","""")&amp;IF(REGEXMATCH($E243,""Animal""),""Animal "","""")&amp;IF(REGEXMATCH($E243,""Undead""),""Undead "","""")&amp;IF(REGEXMATCH($E243,""Plant""),""Plant "","""")&amp;IF(REGEXMATCH($E243,""Dinosaur""),""Dinosaur "","""")&amp;IF(R"&amp;"EGEXMATCH($E243,""Warrior""),""Warrior "","""")&amp;IF(REGEXMATCH($E243,""Spirit""),""Spirit "","""")&amp;IF(REGEXMATCH($E243,""Angel""),""Angel "","""")&amp;IF(REGEXMATCH($E243,""Demon""),""Demon "","""")&amp;IF(REGEXMATCH($E243,""Divine""),""Divine "","""")&amp;IF(REGEXMAT"&amp;"CH($E243,""Elemental""),""Elemental "","""")&amp;IF(REGEXMATCH($E243,""Nature""),""Nature "","""")&amp;IF(REGEXMATCH($E243,""Mortal""),""Mortal "","""")&amp;IF(REGEXMATCH($E243,""Void""),""Void "","""")&amp;IF(REGEXMATCH($E243,""Unearth|Ambush|Ritual|unearth|ambush|ritua"&amp;"l""),""Unearth "","""")&amp;IF(REGEXMATCH($E243,""Unleash|Crystallize|all realms|Crystalborn|crystallize""),""Ramp "","""")&amp;IF(REGEXMATCH($E243,""Demon""),""Demon "","""")&amp;IF(REGEXMATCH($E243,""bury|buries|Bury|Buries|Cleanse|puts a Unit|trail|Trail""),""Cont"&amp;"rol "","""")&amp;IF(REGEXMATCH($E243,""Bounce|Return|Copy|bounce|return|copy""),""Copy "","""")&amp;IF(REGEXMATCH($E243,""conquer|Conquer|leading in lanes|lead by""),""Aggro "","""")&amp;IF(REGEXMATCH($E243,""Ascend|ascend""),""Ascend "","""")&amp;IF(REGEXMATCH($E243,""B"&amp;"ury .+ Crystal|.*crystal.*bury""),""Empty-Crystal"","""")&amp;IF(REGEXMATCH($E243,""Move|move""),""Move"","""")"),"Unearth ")</f>
        <v>Unearth </v>
      </c>
      <c r="G243" s="12" t="s">
        <v>1071</v>
      </c>
      <c r="H243" s="18">
        <v>2.0</v>
      </c>
      <c r="I243" s="18" t="s">
        <v>949</v>
      </c>
      <c r="J243" s="18" t="s">
        <v>42</v>
      </c>
      <c r="L243" s="13" t="str">
        <f>IFERROR(__xludf.DUMMYFUNCTION("IF(REGEXMATCH($B243,L$1),$D243,"""")"),"")</f>
        <v/>
      </c>
      <c r="M243" s="13" t="str">
        <f>IFERROR(__xludf.DUMMYFUNCTION("IF(REGEXMATCH($B243,M$1),$D243,"""")"),"Animal")</f>
        <v>Animal</v>
      </c>
      <c r="N243" s="13" t="str">
        <f>IFERROR(__xludf.DUMMYFUNCTION("IF(REGEXMATCH($B243,N$1),$D243,"""")"),"")</f>
        <v/>
      </c>
      <c r="O243" s="13" t="str">
        <f>IFERROR(__xludf.DUMMYFUNCTION("IF(REGEXMATCH($B243,O$1),$D243,"""")"),"")</f>
        <v/>
      </c>
      <c r="P243" s="13" t="str">
        <f>IFERROR(__xludf.DUMMYFUNCTION("IF(REGEXMATCH($B243,P$1),$D243,"""")"),"")</f>
        <v/>
      </c>
      <c r="Q243" s="13">
        <f>IFERROR(__xludf.DUMMYFUNCTION("IF($A243="""","""",LEN(REGEXREPLACE($I243,"",\s?"","""")))"),2.0)</f>
        <v>2</v>
      </c>
      <c r="S243" s="13"/>
      <c r="T243" s="13"/>
      <c r="U243" s="13"/>
      <c r="V243" s="13"/>
      <c r="W243" s="13"/>
      <c r="X243" s="13"/>
      <c r="Y243" s="13"/>
      <c r="Z243" s="13"/>
      <c r="AA243" s="13"/>
      <c r="AB243" s="13"/>
    </row>
    <row r="244">
      <c r="A244" s="19" t="s">
        <v>1072</v>
      </c>
      <c r="B244" s="19" t="s">
        <v>12</v>
      </c>
      <c r="C244" s="18">
        <v>1.0</v>
      </c>
      <c r="D244" s="18" t="s">
        <v>195</v>
      </c>
      <c r="E244" s="10" t="s">
        <v>1073</v>
      </c>
      <c r="F244" s="10" t="str">
        <f>IFERROR(__xludf.DUMMYFUNCTION("IF(REGEXMATCH($E244,""Wizard""),""Wizard "","""")&amp;IF(REGEXMATCH($E244,""Construct""),""Construct "","""")&amp;IF(REGEXMATCH($E244,""Insect""),""Insect "","""")&amp;IF(REGEXMATCH($E244,""Dragon""),""Dragon "","""")&amp;IF(REGEXMATCH($E244,""Human""),""Human "","""")&amp;I"&amp;"F(REGEXMATCH($E244,""Hunter""),""Hunter "","""")&amp;IF(REGEXMATCH($E244,""Animal""),""Animal "","""")&amp;IF(REGEXMATCH($E244,""Undead""),""Undead "","""")&amp;IF(REGEXMATCH($E244,""Plant""),""Plant "","""")&amp;IF(REGEXMATCH($E244,""Dinosaur""),""Dinosaur "","""")&amp;IF(R"&amp;"EGEXMATCH($E244,""Warrior""),""Warrior "","""")&amp;IF(REGEXMATCH($E244,""Spirit""),""Spirit "","""")&amp;IF(REGEXMATCH($E244,""Angel""),""Angel "","""")&amp;IF(REGEXMATCH($E244,""Demon""),""Demon "","""")&amp;IF(REGEXMATCH($E244,""Divine""),""Divine "","""")&amp;IF(REGEXMAT"&amp;"CH($E244,""Elemental""),""Elemental "","""")&amp;IF(REGEXMATCH($E244,""Nature""),""Nature "","""")&amp;IF(REGEXMATCH($E244,""Mortal""),""Mortal "","""")&amp;IF(REGEXMATCH($E244,""Void""),""Void "","""")&amp;IF(REGEXMATCH($E244,""Unearth|Ambush|Ritual|unearth|ambush|ritua"&amp;"l""),""Unearth "","""")&amp;IF(REGEXMATCH($E244,""Unleash|Crystallize|all realms|Crystalborn|crystallize""),""Ramp "","""")&amp;IF(REGEXMATCH($E244,""Demon""),""Demon "","""")&amp;IF(REGEXMATCH($E244,""bury|buries|Bury|Buries|Cleanse|puts a Unit|trail|Trail""),""Cont"&amp;"rol "","""")&amp;IF(REGEXMATCH($E244,""Bounce|Return|Copy|bounce|return|copy""),""Copy "","""")&amp;IF(REGEXMATCH($E244,""conquer|Conquer|leading in lanes|lead by""),""Aggro "","""")&amp;IF(REGEXMATCH($E244,""Ascend|ascend""),""Ascend "","""")&amp;IF(REGEXMATCH($E244,""B"&amp;"ury .+ Crystal|.*crystal.*bury""),""Empty-Crystal"","""")&amp;IF(REGEXMATCH($E244,""Move|move""),""Move"","""")"),"Unearth Ramp ")</f>
        <v>Unearth Ramp </v>
      </c>
      <c r="G244" s="12" t="s">
        <v>1074</v>
      </c>
      <c r="H244" s="18">
        <v>3.0</v>
      </c>
      <c r="I244" s="18" t="s">
        <v>960</v>
      </c>
      <c r="J244" s="18" t="s">
        <v>42</v>
      </c>
      <c r="L244" s="13" t="str">
        <f>IFERROR(__xludf.DUMMYFUNCTION("IF(REGEXMATCH($B244,L$1),$D244,"""")"),"")</f>
        <v/>
      </c>
      <c r="M244" s="13" t="str">
        <f>IFERROR(__xludf.DUMMYFUNCTION("IF(REGEXMATCH($B244,M$1),$D244,"""")"),"Animal Hunter")</f>
        <v>Animal Hunter</v>
      </c>
      <c r="N244" s="13" t="str">
        <f>IFERROR(__xludf.DUMMYFUNCTION("IF(REGEXMATCH($B244,N$1),$D244,"""")"),"")</f>
        <v/>
      </c>
      <c r="O244" s="13" t="str">
        <f>IFERROR(__xludf.DUMMYFUNCTION("IF(REGEXMATCH($B244,O$1),$D244,"""")"),"")</f>
        <v/>
      </c>
      <c r="P244" s="13" t="str">
        <f>IFERROR(__xludf.DUMMYFUNCTION("IF(REGEXMATCH($B244,P$1),$D244,"""")"),"")</f>
        <v/>
      </c>
      <c r="Q244" s="13">
        <f>IFERROR(__xludf.DUMMYFUNCTION("IF($A244="""","""",LEN(REGEXREPLACE($I244,"",\s?"","""")))"),3.0)</f>
        <v>3</v>
      </c>
      <c r="S244" s="13"/>
      <c r="T244" s="13"/>
      <c r="U244" s="13"/>
      <c r="V244" s="13"/>
      <c r="W244" s="13"/>
      <c r="X244" s="13"/>
      <c r="Y244" s="13"/>
      <c r="Z244" s="13"/>
      <c r="AA244" s="13"/>
      <c r="AB244" s="13"/>
    </row>
    <row r="245">
      <c r="A245" s="10" t="s">
        <v>1075</v>
      </c>
      <c r="B245" s="10" t="s">
        <v>12</v>
      </c>
      <c r="C245" s="11">
        <v>1.0</v>
      </c>
      <c r="D245" s="11" t="s">
        <v>195</v>
      </c>
      <c r="E245" s="10" t="s">
        <v>1076</v>
      </c>
      <c r="F245" s="10" t="str">
        <f>IFERROR(__xludf.DUMMYFUNCTION("IF(REGEXMATCH($E245,""Wizard""),""Wizard "","""")&amp;IF(REGEXMATCH($E245,""Construct""),""Construct "","""")&amp;IF(REGEXMATCH($E245,""Insect""),""Insect "","""")&amp;IF(REGEXMATCH($E245,""Dragon""),""Dragon "","""")&amp;IF(REGEXMATCH($E245,""Human""),""Human "","""")&amp;I"&amp;"F(REGEXMATCH($E245,""Hunter""),""Hunter "","""")&amp;IF(REGEXMATCH($E245,""Animal""),""Animal "","""")&amp;IF(REGEXMATCH($E245,""Undead""),""Undead "","""")&amp;IF(REGEXMATCH($E245,""Plant""),""Plant "","""")&amp;IF(REGEXMATCH($E245,""Dinosaur""),""Dinosaur "","""")&amp;IF(R"&amp;"EGEXMATCH($E245,""Warrior""),""Warrior "","""")&amp;IF(REGEXMATCH($E245,""Spirit""),""Spirit "","""")&amp;IF(REGEXMATCH($E245,""Angel""),""Angel "","""")&amp;IF(REGEXMATCH($E245,""Demon""),""Demon "","""")&amp;IF(REGEXMATCH($E245,""Divine""),""Divine "","""")&amp;IF(REGEXMAT"&amp;"CH($E245,""Elemental""),""Elemental "","""")&amp;IF(REGEXMATCH($E245,""Nature""),""Nature "","""")&amp;IF(REGEXMATCH($E245,""Mortal""),""Mortal "","""")&amp;IF(REGEXMATCH($E245,""Void""),""Void "","""")&amp;IF(REGEXMATCH($E245,""Unearth|Ambush|Ritual|unearth|ambush|ritua"&amp;"l""),""Unearth "","""")&amp;IF(REGEXMATCH($E245,""Unleash|Crystallize|all realms|Crystalborn|crystallize""),""Ramp "","""")&amp;IF(REGEXMATCH($E245,""Demon""),""Demon "","""")&amp;IF(REGEXMATCH($E245,""bury|buries|Bury|Buries|Cleanse|puts a Unit|trail|Trail""),""Cont"&amp;"rol "","""")&amp;IF(REGEXMATCH($E245,""Bounce|Return|Copy|bounce|return|copy""),""Copy "","""")&amp;IF(REGEXMATCH($E245,""conquer|Conquer|leading in lanes|lead by""),""Aggro "","""")&amp;IF(REGEXMATCH($E245,""Ascend|ascend""),""Ascend "","""")&amp;IF(REGEXMATCH($E245,""B"&amp;"ury .+ Crystal|.*crystal.*bury""),""Empty-Crystal"","""")&amp;IF(REGEXMATCH($E245,""Move|move""),""Move"","""")"),"Unearth Move")</f>
        <v>Unearth Move</v>
      </c>
      <c r="G245" s="12" t="s">
        <v>1077</v>
      </c>
      <c r="H245" s="11">
        <v>5.0</v>
      </c>
      <c r="I245" s="11" t="s">
        <v>1014</v>
      </c>
      <c r="J245" s="11" t="s">
        <v>42</v>
      </c>
      <c r="L245" s="13" t="str">
        <f>IFERROR(__xludf.DUMMYFUNCTION("IF(REGEXMATCH($B245,L$1),$D245,"""")"),"")</f>
        <v/>
      </c>
      <c r="M245" s="13" t="str">
        <f>IFERROR(__xludf.DUMMYFUNCTION("IF(REGEXMATCH($B245,M$1),$D245,"""")"),"Animal Hunter")</f>
        <v>Animal Hunter</v>
      </c>
      <c r="N245" s="13" t="str">
        <f>IFERROR(__xludf.DUMMYFUNCTION("IF(REGEXMATCH($B245,N$1),$D245,"""")"),"")</f>
        <v/>
      </c>
      <c r="O245" s="13" t="str">
        <f>IFERROR(__xludf.DUMMYFUNCTION("IF(REGEXMATCH($B245,O$1),$D245,"""")"),"")</f>
        <v/>
      </c>
      <c r="P245" s="13" t="str">
        <f>IFERROR(__xludf.DUMMYFUNCTION("IF(REGEXMATCH($B245,P$1),$D245,"""")"),"")</f>
        <v/>
      </c>
      <c r="Q245" s="13">
        <f>IFERROR(__xludf.DUMMYFUNCTION("IF($A245="""","""",LEN(REGEXREPLACE($I245,"",\s?"","""")))"),5.0)</f>
        <v>5</v>
      </c>
      <c r="S245" s="13"/>
      <c r="T245" s="13"/>
      <c r="U245" s="13"/>
      <c r="V245" s="13"/>
      <c r="W245" s="13"/>
      <c r="X245" s="13"/>
      <c r="Y245" s="13"/>
      <c r="Z245" s="13"/>
      <c r="AA245" s="13"/>
      <c r="AB245" s="13"/>
    </row>
    <row r="246">
      <c r="A246" s="22" t="s">
        <v>1078</v>
      </c>
      <c r="B246" s="10" t="s">
        <v>12</v>
      </c>
      <c r="C246" s="11">
        <v>1.0</v>
      </c>
      <c r="D246" s="11" t="s">
        <v>195</v>
      </c>
      <c r="E246" s="10" t="s">
        <v>1079</v>
      </c>
      <c r="F246" s="10" t="str">
        <f>IFERROR(__xludf.DUMMYFUNCTION("IF(REGEXMATCH($E246,""Wizard""),""Wizard "","""")&amp;IF(REGEXMATCH($E246,""Construct""),""Construct "","""")&amp;IF(REGEXMATCH($E246,""Insect""),""Insect "","""")&amp;IF(REGEXMATCH($E246,""Dragon""),""Dragon "","""")&amp;IF(REGEXMATCH($E246,""Human""),""Human "","""")&amp;I"&amp;"F(REGEXMATCH($E246,""Hunter""),""Hunter "","""")&amp;IF(REGEXMATCH($E246,""Animal""),""Animal "","""")&amp;IF(REGEXMATCH($E246,""Undead""),""Undead "","""")&amp;IF(REGEXMATCH($E246,""Plant""),""Plant "","""")&amp;IF(REGEXMATCH($E246,""Dinosaur""),""Dinosaur "","""")&amp;IF(R"&amp;"EGEXMATCH($E246,""Warrior""),""Warrior "","""")&amp;IF(REGEXMATCH($E246,""Spirit""),""Spirit "","""")&amp;IF(REGEXMATCH($E246,""Angel""),""Angel "","""")&amp;IF(REGEXMATCH($E246,""Demon""),""Demon "","""")&amp;IF(REGEXMATCH($E246,""Divine""),""Divine "","""")&amp;IF(REGEXMAT"&amp;"CH($E246,""Elemental""),""Elemental "","""")&amp;IF(REGEXMATCH($E246,""Nature""),""Nature "","""")&amp;IF(REGEXMATCH($E246,""Mortal""),""Mortal "","""")&amp;IF(REGEXMATCH($E246,""Void""),""Void "","""")&amp;IF(REGEXMATCH($E246,""Unearth|Ambush|Ritual|unearth|ambush|ritua"&amp;"l""),""Unearth "","""")&amp;IF(REGEXMATCH($E246,""Unleash|Crystallize|all realms|Crystalborn|crystallize""),""Ramp "","""")&amp;IF(REGEXMATCH($E246,""Demon""),""Demon "","""")&amp;IF(REGEXMATCH($E246,""bury|buries|Bury|Buries|Cleanse|puts a Unit|trail|Trail""),""Cont"&amp;"rol "","""")&amp;IF(REGEXMATCH($E246,""Bounce|Return|Copy|bounce|return|copy""),""Copy "","""")&amp;IF(REGEXMATCH($E246,""conquer|Conquer|leading in lanes|lead by""),""Aggro "","""")&amp;IF(REGEXMATCH($E246,""Ascend|ascend""),""Ascend "","""")&amp;IF(REGEXMATCH($E246,""B"&amp;"ury .+ Crystal|.*crystal.*bury""),""Empty-Crystal"","""")&amp;IF(REGEXMATCH($E246,""Move|move""),""Move"","""")"),"Nature ")</f>
        <v>Nature </v>
      </c>
      <c r="G246" s="12" t="s">
        <v>1080</v>
      </c>
      <c r="H246" s="11">
        <v>1.0</v>
      </c>
      <c r="I246" s="11" t="s">
        <v>960</v>
      </c>
      <c r="J246" s="11" t="s">
        <v>42</v>
      </c>
      <c r="L246" s="13" t="str">
        <f>IFERROR(__xludf.DUMMYFUNCTION("IF(REGEXMATCH($B246,L$1),$D246,"""")"),"")</f>
        <v/>
      </c>
      <c r="M246" s="13" t="str">
        <f>IFERROR(__xludf.DUMMYFUNCTION("IF(REGEXMATCH($B246,M$1),$D246,"""")"),"Animal Hunter")</f>
        <v>Animal Hunter</v>
      </c>
      <c r="N246" s="13" t="str">
        <f>IFERROR(__xludf.DUMMYFUNCTION("IF(REGEXMATCH($B246,N$1),$D246,"""")"),"")</f>
        <v/>
      </c>
      <c r="O246" s="13" t="str">
        <f>IFERROR(__xludf.DUMMYFUNCTION("IF(REGEXMATCH($B246,O$1),$D246,"""")"),"")</f>
        <v/>
      </c>
      <c r="P246" s="13" t="str">
        <f>IFERROR(__xludf.DUMMYFUNCTION("IF(REGEXMATCH($B246,P$1),$D246,"""")"),"")</f>
        <v/>
      </c>
      <c r="Q246" s="13">
        <f>IFERROR(__xludf.DUMMYFUNCTION("IF($A246="""","""",LEN(REGEXREPLACE($I246,"",\s?"","""")))"),3.0)</f>
        <v>3</v>
      </c>
      <c r="S246" s="13"/>
      <c r="T246" s="13"/>
      <c r="U246" s="13"/>
      <c r="V246" s="13"/>
      <c r="W246" s="13"/>
      <c r="X246" s="13"/>
      <c r="Y246" s="13"/>
      <c r="Z246" s="13"/>
      <c r="AA246" s="13"/>
      <c r="AB246" s="13"/>
    </row>
    <row r="247" hidden="1">
      <c r="A247" s="19" t="s">
        <v>1081</v>
      </c>
      <c r="B247" s="45" t="s">
        <v>12</v>
      </c>
      <c r="C247" s="11">
        <v>2.0</v>
      </c>
      <c r="D247" s="18" t="s">
        <v>672</v>
      </c>
      <c r="E247" s="19" t="s">
        <v>1082</v>
      </c>
      <c r="F247" s="10" t="str">
        <f>IFERROR(__xludf.DUMMYFUNCTION("IF(REGEXMATCH($E247,""Wizard""),""Wizard "","""")&amp;IF(REGEXMATCH($E247,""Construct""),""Construct "","""")&amp;IF(REGEXMATCH($E247,""Insect""),""Insect "","""")&amp;IF(REGEXMATCH($E247,""Dragon""),""Dragon "","""")&amp;IF(REGEXMATCH($E247,""Human""),""Human "","""")&amp;I"&amp;"F(REGEXMATCH($E247,""Hunter""),""Hunter "","""")&amp;IF(REGEXMATCH($E247,""Animal""),""Animal "","""")&amp;IF(REGEXMATCH($E247,""Undead""),""Undead "","""")&amp;IF(REGEXMATCH($E247,""Plant""),""Plant "","""")&amp;IF(REGEXMATCH($E247,""Dinosaur""),""Dinosaur "","""")&amp;IF(R"&amp;"EGEXMATCH($E247,""Warrior""),""Warrior "","""")&amp;IF(REGEXMATCH($E247,""Spirit""),""Spirit "","""")&amp;IF(REGEXMATCH($E247,""Angel""),""Angel "","""")&amp;IF(REGEXMATCH($E247,""Demon""),""Demon "","""")&amp;IF(REGEXMATCH($E247,""Divine""),""Divine "","""")&amp;IF(REGEXMAT"&amp;"CH($E247,""Elemental""),""Elemental "","""")&amp;IF(REGEXMATCH($E247,""Nature""),""Nature "","""")&amp;IF(REGEXMATCH($E247,""Mortal""),""Mortal "","""")&amp;IF(REGEXMATCH($E247,""Void""),""Void "","""")&amp;IF(REGEXMATCH($E247,""Unearth|Ambush|Ritual|unearth|ambush|ritua"&amp;"l""),""Unearth "","""")&amp;IF(REGEXMATCH($E247,""Unleash|Crystallize|all realms|Crystalborn|crystallize""),""Ramp "","""")&amp;IF(REGEXMATCH($E247,""Demon""),""Demon "","""")&amp;IF(REGEXMATCH($E247,""bury|buries|Bury|Buries|Cleanse|puts a Unit|trail|Trail""),""Cont"&amp;"rol "","""")&amp;IF(REGEXMATCH($E247,""Bounce|Return|Copy|bounce|return|copy""),""Copy "","""")&amp;IF(REGEXMATCH($E247,""conquer|Conquer|leading in lanes|lead by""),""Aggro "","""")&amp;IF(REGEXMATCH($E247,""Ascend|ascend""),""Ascend "","""")&amp;IF(REGEXMATCH($E247,""B"&amp;"ury .+ Crystal|.*crystal.*bury""),""Empty-Crystal"","""")&amp;IF(REGEXMATCH($E247,""Move|move""),""Move"","""")"),"Insect Plant Control ")</f>
        <v>Insect Plant Control </v>
      </c>
      <c r="G247" s="20" t="s">
        <v>1083</v>
      </c>
      <c r="H247" s="18">
        <v>3.0</v>
      </c>
      <c r="I247" s="18" t="s">
        <v>953</v>
      </c>
      <c r="J247" s="18" t="s">
        <v>50</v>
      </c>
      <c r="L247" s="13" t="str">
        <f>IFERROR(__xludf.DUMMYFUNCTION("IF(REGEXMATCH($B247,L$1),$D247,"""")"),"")</f>
        <v/>
      </c>
      <c r="M247" s="13" t="str">
        <f>IFERROR(__xludf.DUMMYFUNCTION("IF(REGEXMATCH($B247,M$1),$D247,"""")"),"Human Plant")</f>
        <v>Human Plant</v>
      </c>
      <c r="N247" s="13" t="str">
        <f>IFERROR(__xludf.DUMMYFUNCTION("IF(REGEXMATCH($B247,N$1),$D247,"""")"),"")</f>
        <v/>
      </c>
      <c r="O247" s="13" t="str">
        <f>IFERROR(__xludf.DUMMYFUNCTION("IF(REGEXMATCH($B247,O$1),$D247,"""")"),"")</f>
        <v/>
      </c>
      <c r="P247" s="13" t="str">
        <f>IFERROR(__xludf.DUMMYFUNCTION("IF(REGEXMATCH($B247,P$1),$D247,"""")"),"")</f>
        <v/>
      </c>
      <c r="Q247" s="13">
        <f>IFERROR(__xludf.DUMMYFUNCTION("IF($A247="""","""",LEN(REGEXREPLACE($I247,"",\s?"","""")))"),4.0)</f>
        <v>4</v>
      </c>
      <c r="S247" s="13"/>
      <c r="T247" s="13"/>
      <c r="U247" s="13"/>
      <c r="V247" s="13"/>
      <c r="W247" s="13"/>
      <c r="X247" s="13"/>
      <c r="Y247" s="13"/>
      <c r="Z247" s="13"/>
      <c r="AA247" s="13"/>
      <c r="AB247" s="13"/>
    </row>
    <row r="248">
      <c r="A248" s="10" t="s">
        <v>1084</v>
      </c>
      <c r="B248" s="10" t="s">
        <v>12</v>
      </c>
      <c r="C248" s="11">
        <v>1.0</v>
      </c>
      <c r="D248" s="11" t="s">
        <v>154</v>
      </c>
      <c r="E248" s="10" t="s">
        <v>210</v>
      </c>
      <c r="F248" s="10" t="str">
        <f>IFERROR(__xludf.DUMMYFUNCTION("IF(REGEXMATCH($E248,""Wizard""),""Wizard "","""")&amp;IF(REGEXMATCH($E248,""Construct""),""Construct "","""")&amp;IF(REGEXMATCH($E248,""Insect""),""Insect "","""")&amp;IF(REGEXMATCH($E248,""Dragon""),""Dragon "","""")&amp;IF(REGEXMATCH($E248,""Human""),""Human "","""")&amp;I"&amp;"F(REGEXMATCH($E248,""Hunter""),""Hunter "","""")&amp;IF(REGEXMATCH($E248,""Animal""),""Animal "","""")&amp;IF(REGEXMATCH($E248,""Undead""),""Undead "","""")&amp;IF(REGEXMATCH($E248,""Plant""),""Plant "","""")&amp;IF(REGEXMATCH($E248,""Dinosaur""),""Dinosaur "","""")&amp;IF(R"&amp;"EGEXMATCH($E248,""Warrior""),""Warrior "","""")&amp;IF(REGEXMATCH($E248,""Spirit""),""Spirit "","""")&amp;IF(REGEXMATCH($E248,""Angel""),""Angel "","""")&amp;IF(REGEXMATCH($E248,""Demon""),""Demon "","""")&amp;IF(REGEXMATCH($E248,""Divine""),""Divine "","""")&amp;IF(REGEXMAT"&amp;"CH($E248,""Elemental""),""Elemental "","""")&amp;IF(REGEXMATCH($E248,""Nature""),""Nature "","""")&amp;IF(REGEXMATCH($E248,""Mortal""),""Mortal "","""")&amp;IF(REGEXMATCH($E248,""Void""),""Void "","""")&amp;IF(REGEXMATCH($E248,""Unearth|Ambush|Ritual|unearth|ambush|ritua"&amp;"l""),""Unearth "","""")&amp;IF(REGEXMATCH($E248,""Unleash|Crystallize|all realms|Crystalborn|crystallize""),""Ramp "","""")&amp;IF(REGEXMATCH($E248,""Demon""),""Demon "","""")&amp;IF(REGEXMATCH($E248,""bury|buries|Bury|Buries|Cleanse|puts a Unit|trail|Trail""),""Cont"&amp;"rol "","""")&amp;IF(REGEXMATCH($E248,""Bounce|Return|Copy|bounce|return|copy""),""Copy "","""")&amp;IF(REGEXMATCH($E248,""conquer|Conquer|leading in lanes|lead by""),""Aggro "","""")&amp;IF(REGEXMATCH($E248,""Ascend|ascend""),""Ascend "","""")&amp;IF(REGEXMATCH($E248,""B"&amp;"ury .+ Crystal|.*crystal.*bury""),""Empty-Crystal"","""")&amp;IF(REGEXMATCH($E248,""Move|move""),""Move"","""")"),"Ramp ")</f>
        <v>Ramp </v>
      </c>
      <c r="G248" s="12" t="s">
        <v>1085</v>
      </c>
      <c r="H248" s="11">
        <v>2.0</v>
      </c>
      <c r="I248" s="11" t="s">
        <v>1086</v>
      </c>
      <c r="J248" s="11" t="s">
        <v>42</v>
      </c>
      <c r="L248" s="13" t="str">
        <f>IFERROR(__xludf.DUMMYFUNCTION("IF(REGEXMATCH($B248,L$1),$D248,"""")"),"")</f>
        <v/>
      </c>
      <c r="M248" s="13" t="str">
        <f>IFERROR(__xludf.DUMMYFUNCTION("IF(REGEXMATCH($B248,M$1),$D248,"""")"),"Animal Spirit")</f>
        <v>Animal Spirit</v>
      </c>
      <c r="N248" s="13" t="str">
        <f>IFERROR(__xludf.DUMMYFUNCTION("IF(REGEXMATCH($B248,N$1),$D248,"""")"),"")</f>
        <v/>
      </c>
      <c r="O248" s="13" t="str">
        <f>IFERROR(__xludf.DUMMYFUNCTION("IF(REGEXMATCH($B248,O$1),$D248,"""")"),"")</f>
        <v/>
      </c>
      <c r="P248" s="13" t="str">
        <f>IFERROR(__xludf.DUMMYFUNCTION("IF(REGEXMATCH($B248,P$1),$D248,"""")"),"")</f>
        <v/>
      </c>
      <c r="Q248" s="13">
        <f>IFERROR(__xludf.DUMMYFUNCTION("IF($A248="""","""",LEN(REGEXREPLACE($I248,"",\s?"","""")))"),1.0)</f>
        <v>1</v>
      </c>
      <c r="S248" s="13"/>
      <c r="T248" s="13"/>
      <c r="U248" s="13"/>
      <c r="V248" s="13"/>
      <c r="W248" s="13"/>
      <c r="X248" s="13"/>
      <c r="Y248" s="13"/>
      <c r="Z248" s="13"/>
      <c r="AA248" s="13"/>
      <c r="AB248" s="13"/>
    </row>
    <row r="249">
      <c r="A249" s="10" t="s">
        <v>1087</v>
      </c>
      <c r="B249" s="10" t="s">
        <v>12</v>
      </c>
      <c r="C249" s="11">
        <v>1.0</v>
      </c>
      <c r="D249" s="11" t="s">
        <v>298</v>
      </c>
      <c r="E249" s="19" t="s">
        <v>1088</v>
      </c>
      <c r="F249" s="10" t="str">
        <f>IFERROR(__xludf.DUMMYFUNCTION("IF(REGEXMATCH($E249,""Wizard""),""Wizard "","""")&amp;IF(REGEXMATCH($E249,""Construct""),""Construct "","""")&amp;IF(REGEXMATCH($E249,""Insect""),""Insect "","""")&amp;IF(REGEXMATCH($E249,""Dragon""),""Dragon "","""")&amp;IF(REGEXMATCH($E249,""Human""),""Human "","""")&amp;I"&amp;"F(REGEXMATCH($E249,""Hunter""),""Hunter "","""")&amp;IF(REGEXMATCH($E249,""Animal""),""Animal "","""")&amp;IF(REGEXMATCH($E249,""Undead""),""Undead "","""")&amp;IF(REGEXMATCH($E249,""Plant""),""Plant "","""")&amp;IF(REGEXMATCH($E249,""Dinosaur""),""Dinosaur "","""")&amp;IF(R"&amp;"EGEXMATCH($E249,""Warrior""),""Warrior "","""")&amp;IF(REGEXMATCH($E249,""Spirit""),""Spirit "","""")&amp;IF(REGEXMATCH($E249,""Angel""),""Angel "","""")&amp;IF(REGEXMATCH($E249,""Demon""),""Demon "","""")&amp;IF(REGEXMATCH($E249,""Divine""),""Divine "","""")&amp;IF(REGEXMAT"&amp;"CH($E249,""Elemental""),""Elemental "","""")&amp;IF(REGEXMATCH($E249,""Nature""),""Nature "","""")&amp;IF(REGEXMATCH($E249,""Mortal""),""Mortal "","""")&amp;IF(REGEXMATCH($E249,""Void""),""Void "","""")&amp;IF(REGEXMATCH($E249,""Unearth|Ambush|Ritual|unearth|ambush|ritua"&amp;"l""),""Unearth "","""")&amp;IF(REGEXMATCH($E249,""Unleash|Crystallize|all realms|Crystalborn|crystallize""),""Ramp "","""")&amp;IF(REGEXMATCH($E249,""Demon""),""Demon "","""")&amp;IF(REGEXMATCH($E249,""bury|buries|Bury|Buries|Cleanse|puts a Unit|trail|Trail""),""Cont"&amp;"rol "","""")&amp;IF(REGEXMATCH($E249,""Bounce|Return|Copy|bounce|return|copy""),""Copy "","""")&amp;IF(REGEXMATCH($E249,""conquer|Conquer|leading in lanes|lead by""),""Aggro "","""")&amp;IF(REGEXMATCH($E249,""Ascend|ascend""),""Ascend "","""")&amp;IF(REGEXMATCH($E249,""B"&amp;"ury .+ Crystal|.*crystal.*bury""),""Empty-Crystal"","""")&amp;IF(REGEXMATCH($E249,""Move|move""),""Move"","""")"),"Dinosaur Ramp ")</f>
        <v>Dinosaur Ramp </v>
      </c>
      <c r="G249" s="20" t="s">
        <v>1089</v>
      </c>
      <c r="H249" s="11">
        <v>6.0</v>
      </c>
      <c r="I249" s="11" t="s">
        <v>1014</v>
      </c>
      <c r="J249" s="18" t="s">
        <v>50</v>
      </c>
      <c r="L249" s="13" t="str">
        <f>IFERROR(__xludf.DUMMYFUNCTION("IF(REGEXMATCH($B249,L$1),$D249,"""")"),"")</f>
        <v/>
      </c>
      <c r="M249" s="13" t="str">
        <f>IFERROR(__xludf.DUMMYFUNCTION("IF(REGEXMATCH($B249,M$1),$D249,"""")"),"Construct Dinosaur")</f>
        <v>Construct Dinosaur</v>
      </c>
      <c r="N249" s="13" t="str">
        <f>IFERROR(__xludf.DUMMYFUNCTION("IF(REGEXMATCH($B249,N$1),$D249,"""")"),"")</f>
        <v/>
      </c>
      <c r="O249" s="13" t="str">
        <f>IFERROR(__xludf.DUMMYFUNCTION("IF(REGEXMATCH($B249,O$1),$D249,"""")"),"")</f>
        <v/>
      </c>
      <c r="P249" s="13" t="str">
        <f>IFERROR(__xludf.DUMMYFUNCTION("IF(REGEXMATCH($B249,P$1),$D249,"""")"),"")</f>
        <v/>
      </c>
      <c r="Q249" s="13">
        <f>IFERROR(__xludf.DUMMYFUNCTION("IF($A249="""","""",LEN(REGEXREPLACE($I249,"",\s?"","""")))"),5.0)</f>
        <v>5</v>
      </c>
      <c r="S249" s="13"/>
      <c r="T249" s="13"/>
      <c r="U249" s="13"/>
      <c r="V249" s="13"/>
      <c r="W249" s="13"/>
      <c r="X249" s="13"/>
      <c r="Y249" s="13"/>
      <c r="Z249" s="13"/>
      <c r="AA249" s="13"/>
      <c r="AB249" s="13"/>
    </row>
    <row r="250" hidden="1">
      <c r="A250" s="19" t="s">
        <v>1090</v>
      </c>
      <c r="B250" s="80" t="s">
        <v>12</v>
      </c>
      <c r="C250" s="18">
        <v>2.0</v>
      </c>
      <c r="D250" s="18" t="s">
        <v>695</v>
      </c>
      <c r="E250" s="19" t="s">
        <v>1091</v>
      </c>
      <c r="F250" s="10" t="str">
        <f>IFERROR(__xludf.DUMMYFUNCTION("IF(REGEXMATCH($E250,""Wizard""),""Wizard "","""")&amp;IF(REGEXMATCH($E250,""Construct""),""Construct "","""")&amp;IF(REGEXMATCH($E250,""Insect""),""Insect "","""")&amp;IF(REGEXMATCH($E250,""Dragon""),""Dragon "","""")&amp;IF(REGEXMATCH($E250,""Human""),""Human "","""")&amp;I"&amp;"F(REGEXMATCH($E250,""Hunter""),""Hunter "","""")&amp;IF(REGEXMATCH($E250,""Animal""),""Animal "","""")&amp;IF(REGEXMATCH($E250,""Undead""),""Undead "","""")&amp;IF(REGEXMATCH($E250,""Plant""),""Plant "","""")&amp;IF(REGEXMATCH($E250,""Dinosaur""),""Dinosaur "","""")&amp;IF(R"&amp;"EGEXMATCH($E250,""Warrior""),""Warrior "","""")&amp;IF(REGEXMATCH($E250,""Spirit""),""Spirit "","""")&amp;IF(REGEXMATCH($E250,""Angel""),""Angel "","""")&amp;IF(REGEXMATCH($E250,""Demon""),""Demon "","""")&amp;IF(REGEXMATCH($E250,""Divine""),""Divine "","""")&amp;IF(REGEXMAT"&amp;"CH($E250,""Elemental""),""Elemental "","""")&amp;IF(REGEXMATCH($E250,""Nature""),""Nature "","""")&amp;IF(REGEXMATCH($E250,""Mortal""),""Mortal "","""")&amp;IF(REGEXMATCH($E250,""Void""),""Void "","""")&amp;IF(REGEXMATCH($E250,""Unearth|Ambush|Ritual|unearth|ambush|ritua"&amp;"l""),""Unearth "","""")&amp;IF(REGEXMATCH($E250,""Unleash|Crystallize|all realms|Crystalborn|crystallize""),""Ramp "","""")&amp;IF(REGEXMATCH($E250,""Demon""),""Demon "","""")&amp;IF(REGEXMATCH($E250,""bury|buries|Bury|Buries|Cleanse|puts a Unit|trail|Trail""),""Cont"&amp;"rol "","""")&amp;IF(REGEXMATCH($E250,""Bounce|Return|Copy|bounce|return|copy""),""Copy "","""")&amp;IF(REGEXMATCH($E250,""conquer|Conquer|leading in lanes|lead by""),""Aggro "","""")&amp;IF(REGEXMATCH($E250,""Ascend|ascend""),""Ascend "","""")&amp;IF(REGEXMATCH($E250,""B"&amp;"ury .+ Crystal|.*crystal.*bury""),""Empty-Crystal"","""")&amp;IF(REGEXMATCH($E250,""Move|move""),""Move"","""")"),"Copy ")</f>
        <v>Copy </v>
      </c>
      <c r="G250" s="20" t="s">
        <v>48</v>
      </c>
      <c r="H250" s="18">
        <v>2.0</v>
      </c>
      <c r="I250" s="18" t="s">
        <v>960</v>
      </c>
      <c r="J250" s="18" t="s">
        <v>42</v>
      </c>
      <c r="L250" s="13" t="str">
        <f>IFERROR(__xludf.DUMMYFUNCTION("IF(REGEXMATCH($B250,L$1),$D250,"""")"),"")</f>
        <v/>
      </c>
      <c r="M250" s="13" t="str">
        <f>IFERROR(__xludf.DUMMYFUNCTION("IF(REGEXMATCH($B250,M$1),$D250,"""")"),"Spirit Wizard")</f>
        <v>Spirit Wizard</v>
      </c>
      <c r="N250" s="13" t="str">
        <f>IFERROR(__xludf.DUMMYFUNCTION("IF(REGEXMATCH($B250,N$1),$D250,"""")"),"")</f>
        <v/>
      </c>
      <c r="O250" s="13" t="str">
        <f>IFERROR(__xludf.DUMMYFUNCTION("IF(REGEXMATCH($B250,O$1),$D250,"""")"),"")</f>
        <v/>
      </c>
      <c r="P250" s="13" t="str">
        <f>IFERROR(__xludf.DUMMYFUNCTION("IF(REGEXMATCH($B250,P$1),$D250,"""")"),"")</f>
        <v/>
      </c>
      <c r="Q250" s="13">
        <f>IFERROR(__xludf.DUMMYFUNCTION("IF($A250="""","""",LEN(REGEXREPLACE($I250,"",\s?"","""")))"),3.0)</f>
        <v>3</v>
      </c>
      <c r="S250" s="13"/>
      <c r="T250" s="13"/>
      <c r="U250" s="13"/>
      <c r="V250" s="13"/>
      <c r="W250" s="13"/>
      <c r="X250" s="13"/>
      <c r="Y250" s="13"/>
      <c r="Z250" s="13"/>
      <c r="AA250" s="13"/>
      <c r="AB250" s="13"/>
    </row>
    <row r="251" ht="14.25" hidden="1" customHeight="1">
      <c r="A251" s="10" t="s">
        <v>1092</v>
      </c>
      <c r="B251" s="45" t="s">
        <v>12</v>
      </c>
      <c r="C251" s="11">
        <v>2.0</v>
      </c>
      <c r="D251" s="11" t="s">
        <v>955</v>
      </c>
      <c r="E251" s="10" t="s">
        <v>1093</v>
      </c>
      <c r="F251" s="10" t="str">
        <f>IFERROR(__xludf.DUMMYFUNCTION("IF(REGEXMATCH($E251,""Wizard""),""Wizard "","""")&amp;IF(REGEXMATCH($E251,""Construct""),""Construct "","""")&amp;IF(REGEXMATCH($E251,""Insect""),""Insect "","""")&amp;IF(REGEXMATCH($E251,""Dragon""),""Dragon "","""")&amp;IF(REGEXMATCH($E251,""Human""),""Human "","""")&amp;I"&amp;"F(REGEXMATCH($E251,""Hunter""),""Hunter "","""")&amp;IF(REGEXMATCH($E251,""Animal""),""Animal "","""")&amp;IF(REGEXMATCH($E251,""Undead""),""Undead "","""")&amp;IF(REGEXMATCH($E251,""Plant""),""Plant "","""")&amp;IF(REGEXMATCH($E251,""Dinosaur""),""Dinosaur "","""")&amp;IF(R"&amp;"EGEXMATCH($E251,""Warrior""),""Warrior "","""")&amp;IF(REGEXMATCH($E251,""Spirit""),""Spirit "","""")&amp;IF(REGEXMATCH($E251,""Angel""),""Angel "","""")&amp;IF(REGEXMATCH($E251,""Demon""),""Demon "","""")&amp;IF(REGEXMATCH($E251,""Divine""),""Divine "","""")&amp;IF(REGEXMAT"&amp;"CH($E251,""Elemental""),""Elemental "","""")&amp;IF(REGEXMATCH($E251,""Nature""),""Nature "","""")&amp;IF(REGEXMATCH($E251,""Mortal""),""Mortal "","""")&amp;IF(REGEXMATCH($E251,""Void""),""Void "","""")&amp;IF(REGEXMATCH($E251,""Unearth|Ambush|Ritual|unearth|ambush|ritua"&amp;"l""),""Unearth "","""")&amp;IF(REGEXMATCH($E251,""Unleash|Crystallize|all realms|Crystalborn|crystallize""),""Ramp "","""")&amp;IF(REGEXMATCH($E251,""Demon""),""Demon "","""")&amp;IF(REGEXMATCH($E251,""bury|buries|Bury|Buries|Cleanse|puts a Unit|trail|Trail""),""Cont"&amp;"rol "","""")&amp;IF(REGEXMATCH($E251,""Bounce|Return|Copy|bounce|return|copy""),""Copy "","""")&amp;IF(REGEXMATCH($E251,""conquer|Conquer|leading in lanes|lead by""),""Aggro "","""")&amp;IF(REGEXMATCH($E251,""Ascend|ascend""),""Ascend "","""")&amp;IF(REGEXMATCH($E251,""B"&amp;"ury .+ Crystal|.*crystal.*bury""),""Empty-Crystal"","""")&amp;IF(REGEXMATCH($E251,""Move|move""),""Move"","""")"),"Plant ")</f>
        <v>Plant </v>
      </c>
      <c r="G251" s="12" t="s">
        <v>1094</v>
      </c>
      <c r="H251" s="11">
        <v>5.0</v>
      </c>
      <c r="I251" s="11" t="s">
        <v>968</v>
      </c>
      <c r="J251" s="11" t="s">
        <v>42</v>
      </c>
      <c r="L251" s="13" t="str">
        <f>IFERROR(__xludf.DUMMYFUNCTION("IF(REGEXMATCH($B251,L$1),$D251,"""")"),"")</f>
        <v/>
      </c>
      <c r="M251" s="13" t="str">
        <f>IFERROR(__xludf.DUMMYFUNCTION("IF(REGEXMATCH($B251,M$1),$D251,"""")"),"Animal Plant")</f>
        <v>Animal Plant</v>
      </c>
      <c r="N251" s="13" t="str">
        <f>IFERROR(__xludf.DUMMYFUNCTION("IF(REGEXMATCH($B251,N$1),$D251,"""")"),"")</f>
        <v/>
      </c>
      <c r="O251" s="13" t="str">
        <f>IFERROR(__xludf.DUMMYFUNCTION("IF(REGEXMATCH($B251,O$1),$D251,"""")"),"")</f>
        <v/>
      </c>
      <c r="P251" s="13" t="str">
        <f>IFERROR(__xludf.DUMMYFUNCTION("IF(REGEXMATCH($B251,P$1),$D251,"""")"),"")</f>
        <v/>
      </c>
      <c r="Q251" s="13">
        <f>IFERROR(__xludf.DUMMYFUNCTION("IF($A251="""","""",LEN(REGEXREPLACE($I251,"",\s?"","""")))"),6.0)</f>
        <v>6</v>
      </c>
      <c r="S251" s="13"/>
      <c r="T251" s="13"/>
      <c r="U251" s="13"/>
      <c r="V251" s="13"/>
      <c r="W251" s="13"/>
      <c r="X251" s="13"/>
      <c r="Y251" s="13"/>
      <c r="Z251" s="13"/>
      <c r="AA251" s="13"/>
      <c r="AB251" s="13"/>
    </row>
    <row r="252">
      <c r="A252" s="10" t="s">
        <v>1095</v>
      </c>
      <c r="B252" s="10" t="s">
        <v>12</v>
      </c>
      <c r="C252" s="11">
        <v>1.0</v>
      </c>
      <c r="D252" s="25" t="s">
        <v>298</v>
      </c>
      <c r="E252" s="10" t="s">
        <v>1096</v>
      </c>
      <c r="F252" s="10" t="str">
        <f>IFERROR(__xludf.DUMMYFUNCTION("IF(REGEXMATCH($E252,""Wizard""),""Wizard "","""")&amp;IF(REGEXMATCH($E252,""Construct""),""Construct "","""")&amp;IF(REGEXMATCH($E252,""Insect""),""Insect "","""")&amp;IF(REGEXMATCH($E252,""Dragon""),""Dragon "","""")&amp;IF(REGEXMATCH($E252,""Human""),""Human "","""")&amp;I"&amp;"F(REGEXMATCH($E252,""Hunter""),""Hunter "","""")&amp;IF(REGEXMATCH($E252,""Animal""),""Animal "","""")&amp;IF(REGEXMATCH($E252,""Undead""),""Undead "","""")&amp;IF(REGEXMATCH($E252,""Plant""),""Plant "","""")&amp;IF(REGEXMATCH($E252,""Dinosaur""),""Dinosaur "","""")&amp;IF(R"&amp;"EGEXMATCH($E252,""Warrior""),""Warrior "","""")&amp;IF(REGEXMATCH($E252,""Spirit""),""Spirit "","""")&amp;IF(REGEXMATCH($E252,""Angel""),""Angel "","""")&amp;IF(REGEXMATCH($E252,""Demon""),""Demon "","""")&amp;IF(REGEXMATCH($E252,""Divine""),""Divine "","""")&amp;IF(REGEXMAT"&amp;"CH($E252,""Elemental""),""Elemental "","""")&amp;IF(REGEXMATCH($E252,""Nature""),""Nature "","""")&amp;IF(REGEXMATCH($E252,""Mortal""),""Mortal "","""")&amp;IF(REGEXMATCH($E252,""Void""),""Void "","""")&amp;IF(REGEXMATCH($E252,""Unearth|Ambush|Ritual|unearth|ambush|ritua"&amp;"l""),""Unearth "","""")&amp;IF(REGEXMATCH($E252,""Unleash|Crystallize|all realms|Crystalborn|crystallize""),""Ramp "","""")&amp;IF(REGEXMATCH($E252,""Demon""),""Demon "","""")&amp;IF(REGEXMATCH($E252,""bury|buries|Bury|Buries|Cleanse|puts a Unit|trail|Trail""),""Cont"&amp;"rol "","""")&amp;IF(REGEXMATCH($E252,""Bounce|Return|Copy|bounce|return|copy""),""Copy "","""")&amp;IF(REGEXMATCH($E252,""conquer|Conquer|leading in lanes|lead by""),""Aggro "","""")&amp;IF(REGEXMATCH($E252,""Ascend|ascend""),""Ascend "","""")&amp;IF(REGEXMATCH($E252,""B"&amp;"ury .+ Crystal|.*crystal.*bury""),""Empty-Crystal"","""")&amp;IF(REGEXMATCH($E252,""Move|move""),""Move"","""")"),"Ramp ")</f>
        <v>Ramp </v>
      </c>
      <c r="G252" s="12" t="s">
        <v>1097</v>
      </c>
      <c r="H252" s="11">
        <v>5.0</v>
      </c>
      <c r="I252" s="11" t="s">
        <v>1014</v>
      </c>
      <c r="J252" s="11" t="s">
        <v>42</v>
      </c>
      <c r="L252" s="13" t="str">
        <f>IFERROR(__xludf.DUMMYFUNCTION("IF(REGEXMATCH($B252,L$1),$D252,"""")"),"")</f>
        <v/>
      </c>
      <c r="M252" s="13" t="str">
        <f>IFERROR(__xludf.DUMMYFUNCTION("IF(REGEXMATCH($B252,M$1),$D252,"""")"),"Construct Dinosaur")</f>
        <v>Construct Dinosaur</v>
      </c>
      <c r="N252" s="13" t="str">
        <f>IFERROR(__xludf.DUMMYFUNCTION("IF(REGEXMATCH($B252,N$1),$D252,"""")"),"")</f>
        <v/>
      </c>
      <c r="O252" s="13" t="str">
        <f>IFERROR(__xludf.DUMMYFUNCTION("IF(REGEXMATCH($B252,O$1),$D252,"""")"),"")</f>
        <v/>
      </c>
      <c r="P252" s="13" t="str">
        <f>IFERROR(__xludf.DUMMYFUNCTION("IF(REGEXMATCH($B252,P$1),$D252,"""")"),"")</f>
        <v/>
      </c>
      <c r="Q252" s="13">
        <f>IFERROR(__xludf.DUMMYFUNCTION("IF($A252="""","""",LEN(REGEXREPLACE($I252,"",\s?"","""")))"),5.0)</f>
        <v>5</v>
      </c>
      <c r="S252" s="13"/>
      <c r="T252" s="13"/>
      <c r="U252" s="13"/>
      <c r="V252" s="13"/>
      <c r="W252" s="13"/>
      <c r="X252" s="13"/>
      <c r="Y252" s="13"/>
      <c r="Z252" s="13"/>
      <c r="AA252" s="13"/>
      <c r="AB252" s="13"/>
    </row>
    <row r="253">
      <c r="A253" s="19" t="s">
        <v>1098</v>
      </c>
      <c r="B253" s="19" t="s">
        <v>12</v>
      </c>
      <c r="C253" s="18">
        <v>1.0</v>
      </c>
      <c r="D253" s="18" t="s">
        <v>302</v>
      </c>
      <c r="E253" s="19" t="s">
        <v>1099</v>
      </c>
      <c r="F253" s="10" t="str">
        <f>IFERROR(__xludf.DUMMYFUNCTION("IF(REGEXMATCH($E253,""Wizard""),""Wizard "","""")&amp;IF(REGEXMATCH($E253,""Construct""),""Construct "","""")&amp;IF(REGEXMATCH($E253,""Insect""),""Insect "","""")&amp;IF(REGEXMATCH($E253,""Dragon""),""Dragon "","""")&amp;IF(REGEXMATCH($E253,""Human""),""Human "","""")&amp;I"&amp;"F(REGEXMATCH($E253,""Hunter""),""Hunter "","""")&amp;IF(REGEXMATCH($E253,""Animal""),""Animal "","""")&amp;IF(REGEXMATCH($E253,""Undead""),""Undead "","""")&amp;IF(REGEXMATCH($E253,""Plant""),""Plant "","""")&amp;IF(REGEXMATCH($E253,""Dinosaur""),""Dinosaur "","""")&amp;IF(R"&amp;"EGEXMATCH($E253,""Warrior""),""Warrior "","""")&amp;IF(REGEXMATCH($E253,""Spirit""),""Spirit "","""")&amp;IF(REGEXMATCH($E253,""Angel""),""Angel "","""")&amp;IF(REGEXMATCH($E253,""Demon""),""Demon "","""")&amp;IF(REGEXMATCH($E253,""Divine""),""Divine "","""")&amp;IF(REGEXMAT"&amp;"CH($E253,""Elemental""),""Elemental "","""")&amp;IF(REGEXMATCH($E253,""Nature""),""Nature "","""")&amp;IF(REGEXMATCH($E253,""Mortal""),""Mortal "","""")&amp;IF(REGEXMATCH($E253,""Void""),""Void "","""")&amp;IF(REGEXMATCH($E253,""Unearth|Ambush|Ritual|unearth|ambush|ritua"&amp;"l""),""Unearth "","""")&amp;IF(REGEXMATCH($E253,""Unleash|Crystallize|all realms|Crystalborn|crystallize""),""Ramp "","""")&amp;IF(REGEXMATCH($E253,""Demon""),""Demon "","""")&amp;IF(REGEXMATCH($E253,""bury|buries|Bury|Buries|Cleanse|puts a Unit|trail|Trail""),""Cont"&amp;"rol "","""")&amp;IF(REGEXMATCH($E253,""Bounce|Return|Copy|bounce|return|copy""),""Copy "","""")&amp;IF(REGEXMATCH($E253,""conquer|Conquer|leading in lanes|lead by""),""Aggro "","""")&amp;IF(REGEXMATCH($E253,""Ascend|ascend""),""Ascend "","""")&amp;IF(REGEXMATCH($E253,""B"&amp;"ury .+ Crystal|.*crystal.*bury""),""Empty-Crystal"","""")&amp;IF(REGEXMATCH($E253,""Move|move""),""Move"","""")"),"Dinosaur Move")</f>
        <v>Dinosaur Move</v>
      </c>
      <c r="G253" s="20" t="s">
        <v>689</v>
      </c>
      <c r="H253" s="18">
        <v>3.0</v>
      </c>
      <c r="I253" s="18" t="s">
        <v>960</v>
      </c>
      <c r="J253" s="11" t="s">
        <v>42</v>
      </c>
      <c r="L253" s="13" t="str">
        <f>IFERROR(__xludf.DUMMYFUNCTION("IF(REGEXMATCH($B253,L$1),$D253,"""")"),"")</f>
        <v/>
      </c>
      <c r="M253" s="13" t="str">
        <f>IFERROR(__xludf.DUMMYFUNCTION("IF(REGEXMATCH($B253,M$1),$D253,"""")"),"Dinosaur")</f>
        <v>Dinosaur</v>
      </c>
      <c r="N253" s="13" t="str">
        <f>IFERROR(__xludf.DUMMYFUNCTION("IF(REGEXMATCH($B253,N$1),$D253,"""")"),"")</f>
        <v/>
      </c>
      <c r="O253" s="13" t="str">
        <f>IFERROR(__xludf.DUMMYFUNCTION("IF(REGEXMATCH($B253,O$1),$D253,"""")"),"")</f>
        <v/>
      </c>
      <c r="P253" s="13" t="str">
        <f>IFERROR(__xludf.DUMMYFUNCTION("IF(REGEXMATCH($B253,P$1),$D253,"""")"),"")</f>
        <v/>
      </c>
      <c r="Q253" s="13">
        <f>IFERROR(__xludf.DUMMYFUNCTION("IF($A253="""","""",LEN(REGEXREPLACE($I253,"",\s?"","""")))"),3.0)</f>
        <v>3</v>
      </c>
      <c r="S253" s="13"/>
      <c r="T253" s="13"/>
      <c r="U253" s="13"/>
      <c r="V253" s="13"/>
      <c r="W253" s="13"/>
      <c r="X253" s="13"/>
      <c r="Y253" s="13"/>
      <c r="Z253" s="13"/>
      <c r="AA253" s="13"/>
      <c r="AB253" s="13"/>
    </row>
    <row r="254">
      <c r="A254" s="10" t="s">
        <v>1100</v>
      </c>
      <c r="B254" s="10" t="s">
        <v>12</v>
      </c>
      <c r="C254" s="11">
        <v>1.0</v>
      </c>
      <c r="D254" s="11" t="s">
        <v>302</v>
      </c>
      <c r="E254" s="10" t="s">
        <v>1101</v>
      </c>
      <c r="F254" s="10" t="str">
        <f>IFERROR(__xludf.DUMMYFUNCTION("IF(REGEXMATCH($E254,""Wizard""),""Wizard "","""")&amp;IF(REGEXMATCH($E254,""Construct""),""Construct "","""")&amp;IF(REGEXMATCH($E254,""Insect""),""Insect "","""")&amp;IF(REGEXMATCH($E254,""Dragon""),""Dragon "","""")&amp;IF(REGEXMATCH($E254,""Human""),""Human "","""")&amp;I"&amp;"F(REGEXMATCH($E254,""Hunter""),""Hunter "","""")&amp;IF(REGEXMATCH($E254,""Animal""),""Animal "","""")&amp;IF(REGEXMATCH($E254,""Undead""),""Undead "","""")&amp;IF(REGEXMATCH($E254,""Plant""),""Plant "","""")&amp;IF(REGEXMATCH($E254,""Dinosaur""),""Dinosaur "","""")&amp;IF(R"&amp;"EGEXMATCH($E254,""Warrior""),""Warrior "","""")&amp;IF(REGEXMATCH($E254,""Spirit""),""Spirit "","""")&amp;IF(REGEXMATCH($E254,""Angel""),""Angel "","""")&amp;IF(REGEXMATCH($E254,""Demon""),""Demon "","""")&amp;IF(REGEXMATCH($E254,""Divine""),""Divine "","""")&amp;IF(REGEXMAT"&amp;"CH($E254,""Elemental""),""Elemental "","""")&amp;IF(REGEXMATCH($E254,""Nature""),""Nature "","""")&amp;IF(REGEXMATCH($E254,""Mortal""),""Mortal "","""")&amp;IF(REGEXMATCH($E254,""Void""),""Void "","""")&amp;IF(REGEXMATCH($E254,""Unearth|Ambush|Ritual|unearth|ambush|ritua"&amp;"l""),""Unearth "","""")&amp;IF(REGEXMATCH($E254,""Unleash|Crystallize|all realms|Crystalborn|crystallize""),""Ramp "","""")&amp;IF(REGEXMATCH($E254,""Demon""),""Demon "","""")&amp;IF(REGEXMATCH($E254,""bury|buries|Bury|Buries|Cleanse|puts a Unit|trail|Trail""),""Cont"&amp;"rol "","""")&amp;IF(REGEXMATCH($E254,""Bounce|Return|Copy|bounce|return|copy""),""Copy "","""")&amp;IF(REGEXMATCH($E254,""conquer|Conquer|leading in lanes|lead by""),""Aggro "","""")&amp;IF(REGEXMATCH($E254,""Ascend|ascend""),""Ascend "","""")&amp;IF(REGEXMATCH($E254,""B"&amp;"ury .+ Crystal|.*crystal.*bury""),""Empty-Crystal"","""")&amp;IF(REGEXMATCH($E254,""Move|move""),""Move"","""")"),"Ramp ")</f>
        <v>Ramp </v>
      </c>
      <c r="G254" s="12" t="s">
        <v>1102</v>
      </c>
      <c r="H254" s="11">
        <v>2.0</v>
      </c>
      <c r="I254" s="11" t="s">
        <v>960</v>
      </c>
      <c r="J254" s="11" t="s">
        <v>50</v>
      </c>
      <c r="L254" s="13" t="str">
        <f>IFERROR(__xludf.DUMMYFUNCTION("IF(REGEXMATCH($B254,L$1),$D254,"""")"),"")</f>
        <v/>
      </c>
      <c r="M254" s="13" t="str">
        <f>IFERROR(__xludf.DUMMYFUNCTION("IF(REGEXMATCH($B254,M$1),$D254,"""")"),"Dinosaur")</f>
        <v>Dinosaur</v>
      </c>
      <c r="N254" s="13" t="str">
        <f>IFERROR(__xludf.DUMMYFUNCTION("IF(REGEXMATCH($B254,N$1),$D254,"""")"),"")</f>
        <v/>
      </c>
      <c r="O254" s="13" t="str">
        <f>IFERROR(__xludf.DUMMYFUNCTION("IF(REGEXMATCH($B254,O$1),$D254,"""")"),"")</f>
        <v/>
      </c>
      <c r="P254" s="13" t="str">
        <f>IFERROR(__xludf.DUMMYFUNCTION("IF(REGEXMATCH($B254,P$1),$D254,"""")"),"")</f>
        <v/>
      </c>
      <c r="Q254" s="13">
        <f>IFERROR(__xludf.DUMMYFUNCTION("IF($A254="""","""",LEN(REGEXREPLACE($I254,"",\s?"","""")))"),3.0)</f>
        <v>3</v>
      </c>
      <c r="S254" s="13"/>
      <c r="T254" s="13"/>
      <c r="U254" s="13"/>
      <c r="V254" s="13"/>
      <c r="W254" s="13"/>
      <c r="X254" s="13"/>
      <c r="Y254" s="13"/>
      <c r="Z254" s="13"/>
      <c r="AA254" s="13"/>
      <c r="AB254" s="13"/>
    </row>
    <row r="255" hidden="1">
      <c r="A255" s="22" t="s">
        <v>1103</v>
      </c>
      <c r="B255" s="79" t="s">
        <v>12</v>
      </c>
      <c r="C255" s="11">
        <v>2.0</v>
      </c>
      <c r="D255" s="11" t="s">
        <v>902</v>
      </c>
      <c r="E255" s="10" t="s">
        <v>1104</v>
      </c>
      <c r="F255" s="10" t="str">
        <f>IFERROR(__xludf.DUMMYFUNCTION("IF(REGEXMATCH($E255,""Wizard""),""Wizard "","""")&amp;IF(REGEXMATCH($E255,""Construct""),""Construct "","""")&amp;IF(REGEXMATCH($E255,""Insect""),""Insect "","""")&amp;IF(REGEXMATCH($E255,""Dragon""),""Dragon "","""")&amp;IF(REGEXMATCH($E255,""Human""),""Human "","""")&amp;I"&amp;"F(REGEXMATCH($E255,""Hunter""),""Hunter "","""")&amp;IF(REGEXMATCH($E255,""Animal""),""Animal "","""")&amp;IF(REGEXMATCH($E255,""Undead""),""Undead "","""")&amp;IF(REGEXMATCH($E255,""Plant""),""Plant "","""")&amp;IF(REGEXMATCH($E255,""Dinosaur""),""Dinosaur "","""")&amp;IF(R"&amp;"EGEXMATCH($E255,""Warrior""),""Warrior "","""")&amp;IF(REGEXMATCH($E255,""Spirit""),""Spirit "","""")&amp;IF(REGEXMATCH($E255,""Angel""),""Angel "","""")&amp;IF(REGEXMATCH($E255,""Demon""),""Demon "","""")&amp;IF(REGEXMATCH($E255,""Divine""),""Divine "","""")&amp;IF(REGEXMAT"&amp;"CH($E255,""Elemental""),""Elemental "","""")&amp;IF(REGEXMATCH($E255,""Nature""),""Nature "","""")&amp;IF(REGEXMATCH($E255,""Mortal""),""Mortal "","""")&amp;IF(REGEXMATCH($E255,""Void""),""Void "","""")&amp;IF(REGEXMATCH($E255,""Unearth|Ambush|Ritual|unearth|ambush|ritua"&amp;"l""),""Unearth "","""")&amp;IF(REGEXMATCH($E255,""Unleash|Crystallize|all realms|Crystalborn|crystallize""),""Ramp "","""")&amp;IF(REGEXMATCH($E255,""Demon""),""Demon "","""")&amp;IF(REGEXMATCH($E255,""bury|buries|Bury|Buries|Cleanse|puts a Unit|trail|Trail""),""Cont"&amp;"rol "","""")&amp;IF(REGEXMATCH($E255,""Bounce|Return|Copy|bounce|return|copy""),""Copy "","""")&amp;IF(REGEXMATCH($E255,""conquer|Conquer|leading in lanes|lead by""),""Aggro "","""")&amp;IF(REGEXMATCH($E255,""Ascend|ascend""),""Ascend "","""")&amp;IF(REGEXMATCH($E255,""B"&amp;"ury .+ Crystal|.*crystal.*bury""),""Empty-Crystal"","""")&amp;IF(REGEXMATCH($E255,""Move|move""),""Move"","""")"),"Plant Ramp ")</f>
        <v>Plant Ramp </v>
      </c>
      <c r="G255" s="12" t="s">
        <v>1105</v>
      </c>
      <c r="H255" s="11">
        <v>1.0</v>
      </c>
      <c r="I255" s="11" t="s">
        <v>949</v>
      </c>
      <c r="J255" s="18" t="s">
        <v>42</v>
      </c>
      <c r="L255" s="13" t="str">
        <f>IFERROR(__xludf.DUMMYFUNCTION("IF(REGEXMATCH($B255,L$1),$D255,"""")"),"")</f>
        <v/>
      </c>
      <c r="M255" s="13" t="str">
        <f>IFERROR(__xludf.DUMMYFUNCTION("IF(REGEXMATCH($B255,M$1),$D255,"""")"),"Plant")</f>
        <v>Plant</v>
      </c>
      <c r="N255" s="13" t="str">
        <f>IFERROR(__xludf.DUMMYFUNCTION("IF(REGEXMATCH($B255,N$1),$D255,"""")"),"")</f>
        <v/>
      </c>
      <c r="O255" s="13" t="str">
        <f>IFERROR(__xludf.DUMMYFUNCTION("IF(REGEXMATCH($B255,O$1),$D255,"""")"),"")</f>
        <v/>
      </c>
      <c r="P255" s="13" t="str">
        <f>IFERROR(__xludf.DUMMYFUNCTION("IF(REGEXMATCH($B255,P$1),$D255,"""")"),"")</f>
        <v/>
      </c>
      <c r="Q255" s="13">
        <f>IFERROR(__xludf.DUMMYFUNCTION("IF($A255="""","""",LEN(REGEXREPLACE($I255,"",\s?"","""")))"),2.0)</f>
        <v>2</v>
      </c>
      <c r="S255" s="13"/>
      <c r="T255" s="13"/>
      <c r="U255" s="13"/>
      <c r="V255" s="13"/>
      <c r="W255" s="13"/>
      <c r="X255" s="13"/>
      <c r="Y255" s="13"/>
      <c r="Z255" s="13"/>
      <c r="AA255" s="13"/>
      <c r="AB255" s="13"/>
    </row>
    <row r="256">
      <c r="A256" s="10" t="s">
        <v>1106</v>
      </c>
      <c r="B256" s="10" t="s">
        <v>12</v>
      </c>
      <c r="C256" s="11">
        <v>1.0</v>
      </c>
      <c r="D256" s="11" t="s">
        <v>302</v>
      </c>
      <c r="F256" s="10" t="str">
        <f>IFERROR(__xludf.DUMMYFUNCTION("IF(REGEXMATCH($E256,""Wizard""),""Wizard "","""")&amp;IF(REGEXMATCH($E256,""Construct""),""Construct "","""")&amp;IF(REGEXMATCH($E256,""Insect""),""Insect "","""")&amp;IF(REGEXMATCH($E256,""Dragon""),""Dragon "","""")&amp;IF(REGEXMATCH($E256,""Human""),""Human "","""")&amp;I"&amp;"F(REGEXMATCH($E256,""Hunter""),""Hunter "","""")&amp;IF(REGEXMATCH($E256,""Animal""),""Animal "","""")&amp;IF(REGEXMATCH($E256,""Undead""),""Undead "","""")&amp;IF(REGEXMATCH($E256,""Plant""),""Plant "","""")&amp;IF(REGEXMATCH($E256,""Dinosaur""),""Dinosaur "","""")&amp;IF(R"&amp;"EGEXMATCH($E256,""Warrior""),""Warrior "","""")&amp;IF(REGEXMATCH($E256,""Spirit""),""Spirit "","""")&amp;IF(REGEXMATCH($E256,""Angel""),""Angel "","""")&amp;IF(REGEXMATCH($E256,""Demon""),""Demon "","""")&amp;IF(REGEXMATCH($E256,""Divine""),""Divine "","""")&amp;IF(REGEXMAT"&amp;"CH($E256,""Elemental""),""Elemental "","""")&amp;IF(REGEXMATCH($E256,""Nature""),""Nature "","""")&amp;IF(REGEXMATCH($E256,""Mortal""),""Mortal "","""")&amp;IF(REGEXMATCH($E256,""Void""),""Void "","""")&amp;IF(REGEXMATCH($E256,""Unearth|Ambush|Ritual|unearth|ambush|ritua"&amp;"l""),""Unearth "","""")&amp;IF(REGEXMATCH($E256,""Unleash|Crystallize|all realms|Crystalborn|crystallize""),""Ramp "","""")&amp;IF(REGEXMATCH($E256,""Demon""),""Demon "","""")&amp;IF(REGEXMATCH($E256,""bury|buries|Bury|Buries|Cleanse|puts a Unit|trail|Trail""),""Cont"&amp;"rol "","""")&amp;IF(REGEXMATCH($E256,""Bounce|Return|Copy|bounce|return|copy""),""Copy "","""")&amp;IF(REGEXMATCH($E256,""conquer|Conquer|leading in lanes|lead by""),""Aggro "","""")&amp;IF(REGEXMATCH($E256,""Ascend|ascend""),""Ascend "","""")&amp;IF(REGEXMATCH($E256,""B"&amp;"ury .+ Crystal|.*crystal.*bury""),""Empty-Crystal"","""")&amp;IF(REGEXMATCH($E256,""Move|move""),""Move"","""")"),"")</f>
        <v/>
      </c>
      <c r="G256" s="55" t="s">
        <v>1107</v>
      </c>
      <c r="H256" s="11">
        <v>8.0</v>
      </c>
      <c r="I256" s="11" t="s">
        <v>1036</v>
      </c>
      <c r="J256" s="11" t="s">
        <v>42</v>
      </c>
      <c r="L256" s="13" t="str">
        <f>IFERROR(__xludf.DUMMYFUNCTION("IF(REGEXMATCH($B256,L$1),$D256,"""")"),"")</f>
        <v/>
      </c>
      <c r="M256" s="13" t="str">
        <f>IFERROR(__xludf.DUMMYFUNCTION("IF(REGEXMATCH($B256,M$1),$D256,"""")"),"Dinosaur")</f>
        <v>Dinosaur</v>
      </c>
      <c r="N256" s="13" t="str">
        <f>IFERROR(__xludf.DUMMYFUNCTION("IF(REGEXMATCH($B256,N$1),$D256,"""")"),"")</f>
        <v/>
      </c>
      <c r="O256" s="13" t="str">
        <f>IFERROR(__xludf.DUMMYFUNCTION("IF(REGEXMATCH($B256,O$1),$D256,"""")"),"")</f>
        <v/>
      </c>
      <c r="P256" s="13" t="str">
        <f>IFERROR(__xludf.DUMMYFUNCTION("IF(REGEXMATCH($B256,P$1),$D256,"""")"),"")</f>
        <v/>
      </c>
      <c r="Q256" s="13">
        <f>IFERROR(__xludf.DUMMYFUNCTION("IF($A256="""","""",LEN(REGEXREPLACE($I256,"",\s?"","""")))"),6.0)</f>
        <v>6</v>
      </c>
      <c r="S256" s="13"/>
      <c r="T256" s="13"/>
      <c r="U256" s="13"/>
      <c r="V256" s="13"/>
      <c r="W256" s="13"/>
      <c r="X256" s="13"/>
      <c r="Y256" s="13"/>
      <c r="Z256" s="13"/>
      <c r="AA256" s="13"/>
      <c r="AB256" s="13"/>
    </row>
    <row r="257">
      <c r="A257" s="19" t="s">
        <v>1108</v>
      </c>
      <c r="B257" s="19" t="s">
        <v>12</v>
      </c>
      <c r="C257" s="18">
        <v>1.0</v>
      </c>
      <c r="D257" s="18" t="s">
        <v>302</v>
      </c>
      <c r="E257" s="19" t="s">
        <v>1109</v>
      </c>
      <c r="F257" s="10" t="str">
        <f>IFERROR(__xludf.DUMMYFUNCTION("IF(REGEXMATCH($E257,""Wizard""),""Wizard "","""")&amp;IF(REGEXMATCH($E257,""Construct""),""Construct "","""")&amp;IF(REGEXMATCH($E257,""Insect""),""Insect "","""")&amp;IF(REGEXMATCH($E257,""Dragon""),""Dragon "","""")&amp;IF(REGEXMATCH($E257,""Human""),""Human "","""")&amp;I"&amp;"F(REGEXMATCH($E257,""Hunter""),""Hunter "","""")&amp;IF(REGEXMATCH($E257,""Animal""),""Animal "","""")&amp;IF(REGEXMATCH($E257,""Undead""),""Undead "","""")&amp;IF(REGEXMATCH($E257,""Plant""),""Plant "","""")&amp;IF(REGEXMATCH($E257,""Dinosaur""),""Dinosaur "","""")&amp;IF(R"&amp;"EGEXMATCH($E257,""Warrior""),""Warrior "","""")&amp;IF(REGEXMATCH($E257,""Spirit""),""Spirit "","""")&amp;IF(REGEXMATCH($E257,""Angel""),""Angel "","""")&amp;IF(REGEXMATCH($E257,""Demon""),""Demon "","""")&amp;IF(REGEXMATCH($E257,""Divine""),""Divine "","""")&amp;IF(REGEXMAT"&amp;"CH($E257,""Elemental""),""Elemental "","""")&amp;IF(REGEXMATCH($E257,""Nature""),""Nature "","""")&amp;IF(REGEXMATCH($E257,""Mortal""),""Mortal "","""")&amp;IF(REGEXMATCH($E257,""Void""),""Void "","""")&amp;IF(REGEXMATCH($E257,""Unearth|Ambush|Ritual|unearth|ambush|ritua"&amp;"l""),""Unearth "","""")&amp;IF(REGEXMATCH($E257,""Unleash|Crystallize|all realms|Crystalborn|crystallize""),""Ramp "","""")&amp;IF(REGEXMATCH($E257,""Demon""),""Demon "","""")&amp;IF(REGEXMATCH($E257,""bury|buries|Bury|Buries|Cleanse|puts a Unit|trail|Trail""),""Cont"&amp;"rol "","""")&amp;IF(REGEXMATCH($E257,""Bounce|Return|Copy|bounce|return|copy""),""Copy "","""")&amp;IF(REGEXMATCH($E257,""conquer|Conquer|leading in lanes|lead by""),""Aggro "","""")&amp;IF(REGEXMATCH($E257,""Ascend|ascend""),""Ascend "","""")&amp;IF(REGEXMATCH($E257,""B"&amp;"ury .+ Crystal|.*crystal.*bury""),""Empty-Crystal"","""")&amp;IF(REGEXMATCH($E257,""Move|move""),""Move"","""")"),"Unearth ")</f>
        <v>Unearth </v>
      </c>
      <c r="G257" s="56"/>
      <c r="H257" s="18">
        <v>4.0</v>
      </c>
      <c r="I257" s="18" t="s">
        <v>1014</v>
      </c>
      <c r="J257" s="18" t="s">
        <v>50</v>
      </c>
      <c r="L257" s="13" t="str">
        <f>IFERROR(__xludf.DUMMYFUNCTION("IF(REGEXMATCH($B257,L$1),$D257,"""")"),"")</f>
        <v/>
      </c>
      <c r="M257" s="13" t="str">
        <f>IFERROR(__xludf.DUMMYFUNCTION("IF(REGEXMATCH($B257,M$1),$D257,"""")"),"Dinosaur")</f>
        <v>Dinosaur</v>
      </c>
      <c r="N257" s="13" t="str">
        <f>IFERROR(__xludf.DUMMYFUNCTION("IF(REGEXMATCH($B257,N$1),$D257,"""")"),"")</f>
        <v/>
      </c>
      <c r="O257" s="13" t="str">
        <f>IFERROR(__xludf.DUMMYFUNCTION("IF(REGEXMATCH($B257,O$1),$D257,"""")"),"")</f>
        <v/>
      </c>
      <c r="P257" s="13" t="str">
        <f>IFERROR(__xludf.DUMMYFUNCTION("IF(REGEXMATCH($B257,P$1),$D257,"""")"),"")</f>
        <v/>
      </c>
      <c r="Q257" s="13">
        <f>IFERROR(__xludf.DUMMYFUNCTION("IF($A257="""","""",LEN(REGEXREPLACE($I257,"",\s?"","""")))"),5.0)</f>
        <v>5</v>
      </c>
      <c r="S257" s="13"/>
      <c r="T257" s="13"/>
      <c r="U257" s="13"/>
      <c r="V257" s="13"/>
      <c r="W257" s="13"/>
      <c r="X257" s="13"/>
      <c r="Y257" s="13"/>
      <c r="Z257" s="13"/>
      <c r="AA257" s="13"/>
      <c r="AB257" s="13"/>
    </row>
    <row r="258">
      <c r="A258" s="69" t="s">
        <v>1110</v>
      </c>
      <c r="B258" s="10" t="s">
        <v>12</v>
      </c>
      <c r="C258" s="11">
        <v>1.0</v>
      </c>
      <c r="D258" s="11" t="s">
        <v>1111</v>
      </c>
      <c r="E258" s="10" t="s">
        <v>1112</v>
      </c>
      <c r="F258" s="10" t="str">
        <f>IFERROR(__xludf.DUMMYFUNCTION("IF(REGEXMATCH($E258,""Wizard""),""Wizard "","""")&amp;IF(REGEXMATCH($E258,""Construct""),""Construct "","""")&amp;IF(REGEXMATCH($E258,""Insect""),""Insect "","""")&amp;IF(REGEXMATCH($E258,""Dragon""),""Dragon "","""")&amp;IF(REGEXMATCH($E258,""Human""),""Human "","""")&amp;I"&amp;"F(REGEXMATCH($E258,""Hunter""),""Hunter "","""")&amp;IF(REGEXMATCH($E258,""Animal""),""Animal "","""")&amp;IF(REGEXMATCH($E258,""Undead""),""Undead "","""")&amp;IF(REGEXMATCH($E258,""Plant""),""Plant "","""")&amp;IF(REGEXMATCH($E258,""Dinosaur""),""Dinosaur "","""")&amp;IF(R"&amp;"EGEXMATCH($E258,""Warrior""),""Warrior "","""")&amp;IF(REGEXMATCH($E258,""Spirit""),""Spirit "","""")&amp;IF(REGEXMATCH($E258,""Angel""),""Angel "","""")&amp;IF(REGEXMATCH($E258,""Demon""),""Demon "","""")&amp;IF(REGEXMATCH($E258,""Divine""),""Divine "","""")&amp;IF(REGEXMAT"&amp;"CH($E258,""Elemental""),""Elemental "","""")&amp;IF(REGEXMATCH($E258,""Nature""),""Nature "","""")&amp;IF(REGEXMATCH($E258,""Mortal""),""Mortal "","""")&amp;IF(REGEXMATCH($E258,""Void""),""Void "","""")&amp;IF(REGEXMATCH($E258,""Unearth|Ambush|Ritual|unearth|ambush|ritua"&amp;"l""),""Unearth "","""")&amp;IF(REGEXMATCH($E258,""Unleash|Crystallize|all realms|Crystalborn|crystallize""),""Ramp "","""")&amp;IF(REGEXMATCH($E258,""Demon""),""Demon "","""")&amp;IF(REGEXMATCH($E258,""bury|buries|Bury|Buries|Cleanse|puts a Unit|trail|Trail""),""Cont"&amp;"rol "","""")&amp;IF(REGEXMATCH($E258,""Bounce|Return|Copy|bounce|return|copy""),""Copy "","""")&amp;IF(REGEXMATCH($E258,""conquer|Conquer|leading in lanes|lead by""),""Aggro "","""")&amp;IF(REGEXMATCH($E258,""Ascend|ascend""),""Ascend "","""")&amp;IF(REGEXMATCH($E258,""B"&amp;"ury .+ Crystal|.*crystal.*bury""),""Empty-Crystal"","""")&amp;IF(REGEXMATCH($E258,""Move|move""),""Move"","""")"),"Ramp ")</f>
        <v>Ramp </v>
      </c>
      <c r="G258" s="20" t="s">
        <v>1113</v>
      </c>
      <c r="H258" s="11">
        <v>5.0</v>
      </c>
      <c r="I258" s="11" t="s">
        <v>1114</v>
      </c>
      <c r="J258" s="21" t="s">
        <v>42</v>
      </c>
      <c r="L258" s="13" t="str">
        <f>IFERROR(__xludf.DUMMYFUNCTION("IF(REGEXMATCH($B258,L$1),$D258,"""")"),"")</f>
        <v/>
      </c>
      <c r="M258" s="13" t="str">
        <f>IFERROR(__xludf.DUMMYFUNCTION("IF(REGEXMATCH($B258,M$1),$D258,"""")"),"Dinosaur Demon")</f>
        <v>Dinosaur Demon</v>
      </c>
      <c r="N258" s="13" t="str">
        <f>IFERROR(__xludf.DUMMYFUNCTION("IF(REGEXMATCH($B258,N$1),$D258,"""")"),"")</f>
        <v/>
      </c>
      <c r="O258" s="13" t="str">
        <f>IFERROR(__xludf.DUMMYFUNCTION("IF(REGEXMATCH($B258,O$1),$D258,"""")"),"")</f>
        <v/>
      </c>
      <c r="P258" s="13" t="str">
        <f>IFERROR(__xludf.DUMMYFUNCTION("IF(REGEXMATCH($B258,P$1),$D258,"""")"),"")</f>
        <v/>
      </c>
      <c r="Q258" s="13">
        <f>IFERROR(__xludf.DUMMYFUNCTION("IF($A258="""","""",LEN(REGEXREPLACE($I258,"",\s?"","""")))"),5.0)</f>
        <v>5</v>
      </c>
      <c r="S258" s="13"/>
      <c r="T258" s="13"/>
      <c r="U258" s="13"/>
      <c r="V258" s="13"/>
      <c r="W258" s="13"/>
      <c r="X258" s="13"/>
      <c r="Y258" s="13"/>
      <c r="Z258" s="13"/>
      <c r="AA258" s="13"/>
      <c r="AB258" s="13"/>
    </row>
    <row r="259">
      <c r="A259" s="29" t="s">
        <v>1115</v>
      </c>
      <c r="B259" s="10" t="s">
        <v>12</v>
      </c>
      <c r="C259" s="18">
        <v>1.0</v>
      </c>
      <c r="D259" s="11" t="s">
        <v>1016</v>
      </c>
      <c r="E259" s="10" t="s">
        <v>1116</v>
      </c>
      <c r="F259" s="10" t="str">
        <f>IFERROR(__xludf.DUMMYFUNCTION("IF(REGEXMATCH($E259,""Wizard""),""Wizard "","""")&amp;IF(REGEXMATCH($E259,""Construct""),""Construct "","""")&amp;IF(REGEXMATCH($E259,""Insect""),""Insect "","""")&amp;IF(REGEXMATCH($E259,""Dragon""),""Dragon "","""")&amp;IF(REGEXMATCH($E259,""Human""),""Human "","""")&amp;I"&amp;"F(REGEXMATCH($E259,""Hunter""),""Hunter "","""")&amp;IF(REGEXMATCH($E259,""Animal""),""Animal "","""")&amp;IF(REGEXMATCH($E259,""Undead""),""Undead "","""")&amp;IF(REGEXMATCH($E259,""Plant""),""Plant "","""")&amp;IF(REGEXMATCH($E259,""Dinosaur""),""Dinosaur "","""")&amp;IF(R"&amp;"EGEXMATCH($E259,""Warrior""),""Warrior "","""")&amp;IF(REGEXMATCH($E259,""Spirit""),""Spirit "","""")&amp;IF(REGEXMATCH($E259,""Angel""),""Angel "","""")&amp;IF(REGEXMATCH($E259,""Demon""),""Demon "","""")&amp;IF(REGEXMATCH($E259,""Divine""),""Divine "","""")&amp;IF(REGEXMAT"&amp;"CH($E259,""Elemental""),""Elemental "","""")&amp;IF(REGEXMATCH($E259,""Nature""),""Nature "","""")&amp;IF(REGEXMATCH($E259,""Mortal""),""Mortal "","""")&amp;IF(REGEXMATCH($E259,""Void""),""Void "","""")&amp;IF(REGEXMATCH($E259,""Unearth|Ambush|Ritual|unearth|ambush|ritua"&amp;"l""),""Unearth "","""")&amp;IF(REGEXMATCH($E259,""Unleash|Crystallize|all realms|Crystalborn|crystallize""),""Ramp "","""")&amp;IF(REGEXMATCH($E259,""Demon""),""Demon "","""")&amp;IF(REGEXMATCH($E259,""bury|buries|Bury|Buries|Cleanse|puts a Unit|trail|Trail""),""Cont"&amp;"rol "","""")&amp;IF(REGEXMATCH($E259,""Bounce|Return|Copy|bounce|return|copy""),""Copy "","""")&amp;IF(REGEXMATCH($E259,""conquer|Conquer|leading in lanes|lead by""),""Aggro "","""")&amp;IF(REGEXMATCH($E259,""Ascend|ascend""),""Ascend "","""")&amp;IF(REGEXMATCH($E259,""B"&amp;"ury .+ Crystal|.*crystal.*bury""),""Empty-Crystal"","""")&amp;IF(REGEXMATCH($E259,""Move|move""),""Move"","""")"),"Unearth ")</f>
        <v>Unearth </v>
      </c>
      <c r="G259" s="12" t="s">
        <v>1117</v>
      </c>
      <c r="H259" s="21">
        <v>7.0</v>
      </c>
      <c r="I259" s="11" t="s">
        <v>1002</v>
      </c>
      <c r="J259" s="11" t="s">
        <v>50</v>
      </c>
      <c r="L259" s="13" t="str">
        <f>IFERROR(__xludf.DUMMYFUNCTION("IF(REGEXMATCH($B259,L$1),$D259,"""")"),"")</f>
        <v/>
      </c>
      <c r="M259" s="13" t="str">
        <f>IFERROR(__xludf.DUMMYFUNCTION("IF(REGEXMATCH($B259,M$1),$D259,"""")"),"Dinosaur Hunter")</f>
        <v>Dinosaur Hunter</v>
      </c>
      <c r="N259" s="13" t="str">
        <f>IFERROR(__xludf.DUMMYFUNCTION("IF(REGEXMATCH($B259,N$1),$D259,"""")"),"")</f>
        <v/>
      </c>
      <c r="O259" s="13" t="str">
        <f>IFERROR(__xludf.DUMMYFUNCTION("IF(REGEXMATCH($B259,O$1),$D259,"""")"),"")</f>
        <v/>
      </c>
      <c r="P259" s="13" t="str">
        <f>IFERROR(__xludf.DUMMYFUNCTION("IF(REGEXMATCH($B259,P$1),$D259,"""")"),"")</f>
        <v/>
      </c>
      <c r="Q259" s="13">
        <f>IFERROR(__xludf.DUMMYFUNCTION("IF($A259="""","""",LEN(REGEXREPLACE($I259,"",\s?"","""")))"),7.0)</f>
        <v>7</v>
      </c>
      <c r="S259" s="13"/>
      <c r="T259" s="13"/>
      <c r="U259" s="13"/>
      <c r="V259" s="13"/>
      <c r="W259" s="13"/>
      <c r="X259" s="13"/>
      <c r="Y259" s="13"/>
      <c r="Z259" s="13"/>
      <c r="AA259" s="13"/>
      <c r="AB259" s="13"/>
    </row>
    <row r="260" hidden="1">
      <c r="A260" s="19" t="s">
        <v>1118</v>
      </c>
      <c r="B260" s="19" t="s">
        <v>1119</v>
      </c>
      <c r="C260" s="18">
        <v>0.0</v>
      </c>
      <c r="D260" s="18" t="s">
        <v>1120</v>
      </c>
      <c r="E260" s="19" t="s">
        <v>1121</v>
      </c>
      <c r="F260" s="10" t="str">
        <f>IFERROR(__xludf.DUMMYFUNCTION("IF(REGEXMATCH($E260,""Wizard""),""Wizard "","""")&amp;IF(REGEXMATCH($E260,""Construct""),""Construct "","""")&amp;IF(REGEXMATCH($E260,""Insect""),""Insect "","""")&amp;IF(REGEXMATCH($E260,""Dragon""),""Dragon "","""")&amp;IF(REGEXMATCH($E260,""Human""),""Human "","""")&amp;I"&amp;"F(REGEXMATCH($E260,""Hunter""),""Hunter "","""")&amp;IF(REGEXMATCH($E260,""Animal""),""Animal "","""")&amp;IF(REGEXMATCH($E260,""Undead""),""Undead "","""")&amp;IF(REGEXMATCH($E260,""Plant""),""Plant "","""")&amp;IF(REGEXMATCH($E260,""Dinosaur""),""Dinosaur "","""")&amp;IF(R"&amp;"EGEXMATCH($E260,""Warrior""),""Warrior "","""")&amp;IF(REGEXMATCH($E260,""Spirit""),""Spirit "","""")&amp;IF(REGEXMATCH($E260,""Angel""),""Angel "","""")&amp;IF(REGEXMATCH($E260,""Demon""),""Demon "","""")&amp;IF(REGEXMATCH($E260,""Divine""),""Divine "","""")&amp;IF(REGEXMAT"&amp;"CH($E260,""Elemental""),""Elemental "","""")&amp;IF(REGEXMATCH($E260,""Nature""),""Nature "","""")&amp;IF(REGEXMATCH($E260,""Mortal""),""Mortal "","""")&amp;IF(REGEXMATCH($E260,""Void""),""Void "","""")&amp;IF(REGEXMATCH($E260,""Unearth|Ambush|Ritual|unearth|ambush|ritua"&amp;"l""),""Unearth "","""")&amp;IF(REGEXMATCH($E260,""Unleash|Crystallize|all realms|Crystalborn|crystallize""),""Ramp "","""")&amp;IF(REGEXMATCH($E260,""Demon""),""Demon "","""")&amp;IF(REGEXMATCH($E260,""bury|buries|Bury|Buries|Cleanse|puts a Unit|trail|Trail""),""Cont"&amp;"rol "","""")&amp;IF(REGEXMATCH($E260,""Bounce|Return|Copy|bounce|return|copy""),""Copy "","""")&amp;IF(REGEXMATCH($E260,""conquer|Conquer|leading in lanes|lead by""),""Aggro "","""")&amp;IF(REGEXMATCH($E260,""Ascend|ascend""),""Ascend "","""")&amp;IF(REGEXMATCH($E260,""B"&amp;"ury .+ Crystal|.*crystal.*bury""),""Empty-Crystal"","""")&amp;IF(REGEXMATCH($E260,""Move|move""),""Move"","""")"),"Unearth Aggro ")</f>
        <v>Unearth Aggro </v>
      </c>
      <c r="G260" s="82" t="s">
        <v>1122</v>
      </c>
      <c r="H260" s="18">
        <v>7.0</v>
      </c>
      <c r="I260" s="18" t="s">
        <v>1123</v>
      </c>
      <c r="J260" s="11" t="s">
        <v>33</v>
      </c>
      <c r="L260" s="13" t="str">
        <f>IFERROR(__xludf.DUMMYFUNCTION("IF(REGEXMATCH($B260,L$1),$D260,"""")"),"")</f>
        <v/>
      </c>
      <c r="M260" s="13" t="str">
        <f>IFERROR(__xludf.DUMMYFUNCTION("IF(REGEXMATCH($B260,M$1),$D260,"""")"),"Dinosaur Undead")</f>
        <v>Dinosaur Undead</v>
      </c>
      <c r="N260" s="13" t="str">
        <f>IFERROR(__xludf.DUMMYFUNCTION("IF(REGEXMATCH($B260,N$1),$D260,"""")"),"Dinosaur Undead")</f>
        <v>Dinosaur Undead</v>
      </c>
      <c r="O260" s="13" t="str">
        <f>IFERROR(__xludf.DUMMYFUNCTION("IF(REGEXMATCH($B260,O$1),$D260,"""")"),"")</f>
        <v/>
      </c>
      <c r="P260" s="13" t="str">
        <f>IFERROR(__xludf.DUMMYFUNCTION("IF(REGEXMATCH($B260,P$1),$D260,"""")"),"")</f>
        <v/>
      </c>
      <c r="Q260" s="13">
        <f>IFERROR(__xludf.DUMMYFUNCTION("IF($A260="""","""",LEN(REGEXREPLACE($I260,"",\s?"","""")))"),7.0)</f>
        <v>7</v>
      </c>
      <c r="S260" s="13"/>
      <c r="T260" s="13"/>
      <c r="U260" s="13"/>
      <c r="V260" s="13"/>
      <c r="W260" s="13"/>
      <c r="X260" s="13"/>
      <c r="Y260" s="13"/>
      <c r="Z260" s="13"/>
      <c r="AA260" s="13"/>
      <c r="AB260" s="13"/>
    </row>
    <row r="261">
      <c r="A261" s="13" t="s">
        <v>1124</v>
      </c>
      <c r="B261" s="10" t="s">
        <v>12</v>
      </c>
      <c r="C261" s="11">
        <v>1.0</v>
      </c>
      <c r="D261" s="11" t="s">
        <v>1125</v>
      </c>
      <c r="E261" s="10" t="s">
        <v>1126</v>
      </c>
      <c r="F261" s="10" t="str">
        <f>IFERROR(__xludf.DUMMYFUNCTION("IF(REGEXMATCH($E261,""Wizard""),""Wizard "","""")&amp;IF(REGEXMATCH($E261,""Construct""),""Construct "","""")&amp;IF(REGEXMATCH($E261,""Insect""),""Insect "","""")&amp;IF(REGEXMATCH($E261,""Dragon""),""Dragon "","""")&amp;IF(REGEXMATCH($E261,""Human""),""Human "","""")&amp;I"&amp;"F(REGEXMATCH($E261,""Hunter""),""Hunter "","""")&amp;IF(REGEXMATCH($E261,""Animal""),""Animal "","""")&amp;IF(REGEXMATCH($E261,""Undead""),""Undead "","""")&amp;IF(REGEXMATCH($E261,""Plant""),""Plant "","""")&amp;IF(REGEXMATCH($E261,""Dinosaur""),""Dinosaur "","""")&amp;IF(R"&amp;"EGEXMATCH($E261,""Warrior""),""Warrior "","""")&amp;IF(REGEXMATCH($E261,""Spirit""),""Spirit "","""")&amp;IF(REGEXMATCH($E261,""Angel""),""Angel "","""")&amp;IF(REGEXMATCH($E261,""Demon""),""Demon "","""")&amp;IF(REGEXMATCH($E261,""Divine""),""Divine "","""")&amp;IF(REGEXMAT"&amp;"CH($E261,""Elemental""),""Elemental "","""")&amp;IF(REGEXMATCH($E261,""Nature""),""Nature "","""")&amp;IF(REGEXMATCH($E261,""Mortal""),""Mortal "","""")&amp;IF(REGEXMATCH($E261,""Void""),""Void "","""")&amp;IF(REGEXMATCH($E261,""Unearth|Ambush|Ritual|unearth|ambush|ritua"&amp;"l""),""Unearth "","""")&amp;IF(REGEXMATCH($E261,""Unleash|Crystallize|all realms|Crystalborn|crystallize""),""Ramp "","""")&amp;IF(REGEXMATCH($E261,""Demon""),""Demon "","""")&amp;IF(REGEXMATCH($E261,""bury|buries|Bury|Buries|Cleanse|puts a Unit|trail|Trail""),""Cont"&amp;"rol "","""")&amp;IF(REGEXMATCH($E261,""Bounce|Return|Copy|bounce|return|copy""),""Copy "","""")&amp;IF(REGEXMATCH($E261,""conquer|Conquer|leading in lanes|lead by""),""Aggro "","""")&amp;IF(REGEXMATCH($E261,""Ascend|ascend""),""Ascend "","""")&amp;IF(REGEXMATCH($E261,""B"&amp;"ury .+ Crystal|.*crystal.*bury""),""Empty-Crystal"","""")&amp;IF(REGEXMATCH($E261,""Move|move""),""Move"","""")"),"Ramp ")</f>
        <v>Ramp </v>
      </c>
      <c r="G261" s="12" t="s">
        <v>1127</v>
      </c>
      <c r="H261" s="11">
        <v>2.0</v>
      </c>
      <c r="I261" s="11" t="s">
        <v>1086</v>
      </c>
      <c r="J261" s="21" t="s">
        <v>42</v>
      </c>
      <c r="L261" s="13" t="str">
        <f>IFERROR(__xludf.DUMMYFUNCTION("IF(REGEXMATCH($B261,L$1),$D261,"""")"),"")</f>
        <v/>
      </c>
      <c r="M261" s="13" t="str">
        <f>IFERROR(__xludf.DUMMYFUNCTION("IF(REGEXMATCH($B261,M$1),$D261,"""")"),"Dinosaur Plant")</f>
        <v>Dinosaur Plant</v>
      </c>
      <c r="N261" s="13" t="str">
        <f>IFERROR(__xludf.DUMMYFUNCTION("IF(REGEXMATCH($B261,N$1),$D261,"""")"),"")</f>
        <v/>
      </c>
      <c r="O261" s="13" t="str">
        <f>IFERROR(__xludf.DUMMYFUNCTION("IF(REGEXMATCH($B261,O$1),$D261,"""")"),"")</f>
        <v/>
      </c>
      <c r="P261" s="13" t="str">
        <f>IFERROR(__xludf.DUMMYFUNCTION("IF(REGEXMATCH($B261,P$1),$D261,"""")"),"")</f>
        <v/>
      </c>
      <c r="Q261" s="13">
        <f>IFERROR(__xludf.DUMMYFUNCTION("IF($A261="""","""",LEN(REGEXREPLACE($I261,"",\s?"","""")))"),1.0)</f>
        <v>1</v>
      </c>
      <c r="S261" s="13"/>
      <c r="T261" s="13"/>
      <c r="U261" s="13"/>
      <c r="V261" s="13"/>
      <c r="W261" s="13"/>
      <c r="X261" s="13"/>
      <c r="Y261" s="13"/>
      <c r="Z261" s="13"/>
      <c r="AA261" s="13"/>
      <c r="AB261" s="13"/>
    </row>
    <row r="262" hidden="1">
      <c r="A262" s="10" t="s">
        <v>1128</v>
      </c>
      <c r="B262" s="10" t="s">
        <v>1119</v>
      </c>
      <c r="C262" s="11">
        <v>2.0</v>
      </c>
      <c r="D262" s="11" t="s">
        <v>1129</v>
      </c>
      <c r="E262" s="10" t="s">
        <v>1130</v>
      </c>
      <c r="F262" s="10" t="str">
        <f>IFERROR(__xludf.DUMMYFUNCTION("IF(REGEXMATCH($E262,""Wizard""),""Wizard "","""")&amp;IF(REGEXMATCH($E262,""Construct""),""Construct "","""")&amp;IF(REGEXMATCH($E262,""Insect""),""Insect "","""")&amp;IF(REGEXMATCH($E262,""Dragon""),""Dragon "","""")&amp;IF(REGEXMATCH($E262,""Human""),""Human "","""")&amp;I"&amp;"F(REGEXMATCH($E262,""Hunter""),""Hunter "","""")&amp;IF(REGEXMATCH($E262,""Animal""),""Animal "","""")&amp;IF(REGEXMATCH($E262,""Undead""),""Undead "","""")&amp;IF(REGEXMATCH($E262,""Plant""),""Plant "","""")&amp;IF(REGEXMATCH($E262,""Dinosaur""),""Dinosaur "","""")&amp;IF(R"&amp;"EGEXMATCH($E262,""Warrior""),""Warrior "","""")&amp;IF(REGEXMATCH($E262,""Spirit""),""Spirit "","""")&amp;IF(REGEXMATCH($E262,""Angel""),""Angel "","""")&amp;IF(REGEXMATCH($E262,""Demon""),""Demon "","""")&amp;IF(REGEXMATCH($E262,""Divine""),""Divine "","""")&amp;IF(REGEXMAT"&amp;"CH($E262,""Elemental""),""Elemental "","""")&amp;IF(REGEXMATCH($E262,""Nature""),""Nature "","""")&amp;IF(REGEXMATCH($E262,""Mortal""),""Mortal "","""")&amp;IF(REGEXMATCH($E262,""Void""),""Void "","""")&amp;IF(REGEXMATCH($E262,""Unearth|Ambush|Ritual|unearth|ambush|ritua"&amp;"l""),""Unearth "","""")&amp;IF(REGEXMATCH($E262,""Unleash|Crystallize|all realms|Crystalborn|crystallize""),""Ramp "","""")&amp;IF(REGEXMATCH($E262,""Demon""),""Demon "","""")&amp;IF(REGEXMATCH($E262,""bury|buries|Bury|Buries|Cleanse|puts a Unit|trail|Trail""),""Cont"&amp;"rol "","""")&amp;IF(REGEXMATCH($E262,""Bounce|Return|Copy|bounce|return|copy""),""Copy "","""")&amp;IF(REGEXMATCH($E262,""conquer|Conquer|leading in lanes|lead by""),""Aggro "","""")&amp;IF(REGEXMATCH($E262,""Ascend|ascend""),""Ascend "","""")&amp;IF(REGEXMATCH($E262,""B"&amp;"ury .+ Crystal|.*crystal.*bury""),""Empty-Crystal"","""")&amp;IF(REGEXMATCH($E262,""Move|move""),""Move"","""")"),"Insect ")</f>
        <v>Insect </v>
      </c>
      <c r="G262" s="12" t="s">
        <v>1131</v>
      </c>
      <c r="H262" s="11">
        <v>3.0</v>
      </c>
      <c r="I262" s="11" t="s">
        <v>1132</v>
      </c>
      <c r="J262" s="11" t="s">
        <v>50</v>
      </c>
      <c r="L262" s="13" t="str">
        <f>IFERROR(__xludf.DUMMYFUNCTION("IF(REGEXMATCH($B262,L$1),$D262,"""")"),"")</f>
        <v/>
      </c>
      <c r="M262" s="13" t="str">
        <f>IFERROR(__xludf.DUMMYFUNCTION("IF(REGEXMATCH($B262,M$1),$D262,"""")"),"Demon Insect")</f>
        <v>Demon Insect</v>
      </c>
      <c r="N262" s="13" t="str">
        <f>IFERROR(__xludf.DUMMYFUNCTION("IF(REGEXMATCH($B262,N$1),$D262,"""")"),"Demon Insect")</f>
        <v>Demon Insect</v>
      </c>
      <c r="O262" s="13" t="str">
        <f>IFERROR(__xludf.DUMMYFUNCTION("IF(REGEXMATCH($B262,O$1),$D262,"""")"),"")</f>
        <v/>
      </c>
      <c r="P262" s="13" t="str">
        <f>IFERROR(__xludf.DUMMYFUNCTION("IF(REGEXMATCH($B262,P$1),$D262,"""")"),"")</f>
        <v/>
      </c>
      <c r="Q262" s="13">
        <f>IFERROR(__xludf.DUMMYFUNCTION("IF($A262="""","""",LEN(REGEXREPLACE($I262,"",\s?"","""")))"),4.0)</f>
        <v>4</v>
      </c>
      <c r="S262" s="13"/>
      <c r="T262" s="13"/>
      <c r="U262" s="13"/>
      <c r="V262" s="13"/>
      <c r="W262" s="13"/>
      <c r="X262" s="13"/>
      <c r="Y262" s="13"/>
      <c r="Z262" s="13"/>
      <c r="AA262" s="13"/>
      <c r="AB262" s="13"/>
    </row>
    <row r="263" hidden="1">
      <c r="A263" s="10" t="s">
        <v>1133</v>
      </c>
      <c r="B263" s="83" t="s">
        <v>13</v>
      </c>
      <c r="C263" s="11">
        <v>2.0</v>
      </c>
      <c r="D263" s="11" t="s">
        <v>203</v>
      </c>
      <c r="E263" s="10" t="s">
        <v>1134</v>
      </c>
      <c r="F263" s="10" t="str">
        <f>IFERROR(__xludf.DUMMYFUNCTION("IF(REGEXMATCH($E263,""Wizard""),""Wizard "","""")&amp;IF(REGEXMATCH($E263,""Construct""),""Construct "","""")&amp;IF(REGEXMATCH($E263,""Insect""),""Insect "","""")&amp;IF(REGEXMATCH($E263,""Dragon""),""Dragon "","""")&amp;IF(REGEXMATCH($E263,""Human""),""Human "","""")&amp;I"&amp;"F(REGEXMATCH($E263,""Hunter""),""Hunter "","""")&amp;IF(REGEXMATCH($E263,""Animal""),""Animal "","""")&amp;IF(REGEXMATCH($E263,""Undead""),""Undead "","""")&amp;IF(REGEXMATCH($E263,""Plant""),""Plant "","""")&amp;IF(REGEXMATCH($E263,""Dinosaur""),""Dinosaur "","""")&amp;IF(R"&amp;"EGEXMATCH($E263,""Warrior""),""Warrior "","""")&amp;IF(REGEXMATCH($E263,""Spirit""),""Spirit "","""")&amp;IF(REGEXMATCH($E263,""Angel""),""Angel "","""")&amp;IF(REGEXMATCH($E263,""Demon""),""Demon "","""")&amp;IF(REGEXMATCH($E263,""Divine""),""Divine "","""")&amp;IF(REGEXMAT"&amp;"CH($E263,""Elemental""),""Elemental "","""")&amp;IF(REGEXMATCH($E263,""Nature""),""Nature "","""")&amp;IF(REGEXMATCH($E263,""Mortal""),""Mortal "","""")&amp;IF(REGEXMATCH($E263,""Void""),""Void "","""")&amp;IF(REGEXMATCH($E263,""Unearth|Ambush|Ritual|unearth|ambush|ritua"&amp;"l""),""Unearth "","""")&amp;IF(REGEXMATCH($E263,""Unleash|Crystallize|all realms|Crystalborn|crystallize""),""Ramp "","""")&amp;IF(REGEXMATCH($E263,""Demon""),""Demon "","""")&amp;IF(REGEXMATCH($E263,""bury|buries|Bury|Buries|Cleanse|puts a Unit|trail|Trail""),""Cont"&amp;"rol "","""")&amp;IF(REGEXMATCH($E263,""Bounce|Return|Copy|bounce|return|copy""),""Copy "","""")&amp;IF(REGEXMATCH($E263,""conquer|Conquer|leading in lanes|lead by""),""Aggro "","""")&amp;IF(REGEXMATCH($E263,""Ascend|ascend""),""Ascend "","""")&amp;IF(REGEXMATCH($E263,""B"&amp;"ury .+ Crystal|.*crystal.*bury""),""Empty-Crystal"","""")&amp;IF(REGEXMATCH($E263,""Move|move""),""Move"","""")"),"Undead Unearth Ramp ")</f>
        <v>Undead Unearth Ramp </v>
      </c>
      <c r="G263" s="20" t="s">
        <v>1135</v>
      </c>
      <c r="H263" s="11">
        <v>1.0</v>
      </c>
      <c r="I263" s="11" t="s">
        <v>1136</v>
      </c>
      <c r="J263" s="18" t="s">
        <v>50</v>
      </c>
      <c r="L263" s="13" t="str">
        <f>IFERROR(__xludf.DUMMYFUNCTION("IF(REGEXMATCH($B263,L$1),$D263,"""")"),"")</f>
        <v/>
      </c>
      <c r="M263" s="13" t="str">
        <f>IFERROR(__xludf.DUMMYFUNCTION("IF(REGEXMATCH($B263,M$1),$D263,"""")"),"")</f>
        <v/>
      </c>
      <c r="N263" s="13" t="str">
        <f>IFERROR(__xludf.DUMMYFUNCTION("IF(REGEXMATCH($B263,N$1),$D263,"""")"),"Animal Undead")</f>
        <v>Animal Undead</v>
      </c>
      <c r="O263" s="13" t="str">
        <f>IFERROR(__xludf.DUMMYFUNCTION("IF(REGEXMATCH($B263,O$1),$D263,"""")"),"")</f>
        <v/>
      </c>
      <c r="P263" s="13" t="str">
        <f>IFERROR(__xludf.DUMMYFUNCTION("IF(REGEXMATCH($B263,P$1),$D263,"""")"),"")</f>
        <v/>
      </c>
      <c r="Q263" s="13">
        <f>IFERROR(__xludf.DUMMYFUNCTION("IF($A263="""","""",LEN(REGEXREPLACE($I263,"",\s?"","""")))"),1.0)</f>
        <v>1</v>
      </c>
      <c r="S263" s="13"/>
      <c r="T263" s="13"/>
      <c r="U263" s="13"/>
      <c r="V263" s="13"/>
      <c r="W263" s="13"/>
      <c r="X263" s="13"/>
      <c r="Y263" s="13"/>
      <c r="Z263" s="13"/>
      <c r="AA263" s="13"/>
      <c r="AB263" s="13"/>
    </row>
    <row r="264" hidden="1">
      <c r="A264" s="22" t="s">
        <v>1137</v>
      </c>
      <c r="B264" s="83" t="s">
        <v>13</v>
      </c>
      <c r="C264" s="11">
        <v>2.0</v>
      </c>
      <c r="D264" s="11" t="s">
        <v>1011</v>
      </c>
      <c r="E264" s="10" t="s">
        <v>1138</v>
      </c>
      <c r="F264" s="10" t="str">
        <f>IFERROR(__xludf.DUMMYFUNCTION("IF(REGEXMATCH($E264,""Wizard""),""Wizard "","""")&amp;IF(REGEXMATCH($E264,""Construct""),""Construct "","""")&amp;IF(REGEXMATCH($E264,""Insect""),""Insect "","""")&amp;IF(REGEXMATCH($E264,""Dragon""),""Dragon "","""")&amp;IF(REGEXMATCH($E264,""Human""),""Human "","""")&amp;I"&amp;"F(REGEXMATCH($E264,""Hunter""),""Hunter "","""")&amp;IF(REGEXMATCH($E264,""Animal""),""Animal "","""")&amp;IF(REGEXMATCH($E264,""Undead""),""Undead "","""")&amp;IF(REGEXMATCH($E264,""Plant""),""Plant "","""")&amp;IF(REGEXMATCH($E264,""Dinosaur""),""Dinosaur "","""")&amp;IF(R"&amp;"EGEXMATCH($E264,""Warrior""),""Warrior "","""")&amp;IF(REGEXMATCH($E264,""Spirit""),""Spirit "","""")&amp;IF(REGEXMATCH($E264,""Angel""),""Angel "","""")&amp;IF(REGEXMATCH($E264,""Demon""),""Demon "","""")&amp;IF(REGEXMATCH($E264,""Divine""),""Divine "","""")&amp;IF(REGEXMAT"&amp;"CH($E264,""Elemental""),""Elemental "","""")&amp;IF(REGEXMATCH($E264,""Nature""),""Nature "","""")&amp;IF(REGEXMATCH($E264,""Mortal""),""Mortal "","""")&amp;IF(REGEXMATCH($E264,""Void""),""Void "","""")&amp;IF(REGEXMATCH($E264,""Unearth|Ambush|Ritual|unearth|ambush|ritua"&amp;"l""),""Unearth "","""")&amp;IF(REGEXMATCH($E264,""Unleash|Crystallize|all realms|Crystalborn|crystallize""),""Ramp "","""")&amp;IF(REGEXMATCH($E264,""Demon""),""Demon "","""")&amp;IF(REGEXMATCH($E264,""bury|buries|Bury|Buries|Cleanse|puts a Unit|trail|Trail""),""Cont"&amp;"rol "","""")&amp;IF(REGEXMATCH($E264,""Bounce|Return|Copy|bounce|return|copy""),""Copy "","""")&amp;IF(REGEXMATCH($E264,""conquer|Conquer|leading in lanes|lead by""),""Aggro "","""")&amp;IF(REGEXMATCH($E264,""Ascend|ascend""),""Ascend "","""")&amp;IF(REGEXMATCH($E264,""B"&amp;"ury .+ Crystal|.*crystal.*bury""),""Empty-Crystal"","""")&amp;IF(REGEXMATCH($E264,""Move|move""),""Move"","""")"),"Unearth Control ")</f>
        <v>Unearth Control </v>
      </c>
      <c r="G264" s="12" t="s">
        <v>1139</v>
      </c>
      <c r="H264" s="11">
        <v>4.0</v>
      </c>
      <c r="I264" s="11" t="s">
        <v>1140</v>
      </c>
      <c r="J264" s="11" t="s">
        <v>33</v>
      </c>
      <c r="L264" s="13" t="str">
        <f>IFERROR(__xludf.DUMMYFUNCTION("IF(REGEXMATCH($B264,L$1),$D264,"""")"),"")</f>
        <v/>
      </c>
      <c r="M264" s="13" t="str">
        <f>IFERROR(__xludf.DUMMYFUNCTION("IF(REGEXMATCH($B264,M$1),$D264,"""")"),"")</f>
        <v/>
      </c>
      <c r="N264" s="13" t="str">
        <f>IFERROR(__xludf.DUMMYFUNCTION("IF(REGEXMATCH($B264,N$1),$D264,"""")"),"Hunter Insect")</f>
        <v>Hunter Insect</v>
      </c>
      <c r="O264" s="13" t="str">
        <f>IFERROR(__xludf.DUMMYFUNCTION("IF(REGEXMATCH($B264,O$1),$D264,"""")"),"")</f>
        <v/>
      </c>
      <c r="P264" s="13" t="str">
        <f>IFERROR(__xludf.DUMMYFUNCTION("IF(REGEXMATCH($B264,P$1),$D264,"""")"),"")</f>
        <v/>
      </c>
      <c r="Q264" s="13">
        <f>IFERROR(__xludf.DUMMYFUNCTION("IF($A264="""","""",LEN(REGEXREPLACE($I264,"",\s?"","""")))"),5.0)</f>
        <v>5</v>
      </c>
      <c r="S264" s="13"/>
      <c r="T264" s="13"/>
      <c r="U264" s="13"/>
      <c r="V264" s="13"/>
      <c r="W264" s="13"/>
      <c r="X264" s="13"/>
      <c r="Y264" s="13"/>
      <c r="Z264" s="13"/>
      <c r="AA264" s="13"/>
      <c r="AB264" s="13"/>
    </row>
    <row r="265">
      <c r="A265" s="22" t="s">
        <v>1141</v>
      </c>
      <c r="B265" s="10" t="s">
        <v>12</v>
      </c>
      <c r="C265" s="11">
        <v>1.0</v>
      </c>
      <c r="D265" s="11" t="s">
        <v>1125</v>
      </c>
      <c r="E265" s="45" t="s">
        <v>1142</v>
      </c>
      <c r="F265" s="10" t="str">
        <f>IFERROR(__xludf.DUMMYFUNCTION("IF(REGEXMATCH($E265,""Wizard""),""Wizard "","""")&amp;IF(REGEXMATCH($E265,""Construct""),""Construct "","""")&amp;IF(REGEXMATCH($E265,""Insect""),""Insect "","""")&amp;IF(REGEXMATCH($E265,""Dragon""),""Dragon "","""")&amp;IF(REGEXMATCH($E265,""Human""),""Human "","""")&amp;I"&amp;"F(REGEXMATCH($E265,""Hunter""),""Hunter "","""")&amp;IF(REGEXMATCH($E265,""Animal""),""Animal "","""")&amp;IF(REGEXMATCH($E265,""Undead""),""Undead "","""")&amp;IF(REGEXMATCH($E265,""Plant""),""Plant "","""")&amp;IF(REGEXMATCH($E265,""Dinosaur""),""Dinosaur "","""")&amp;IF(R"&amp;"EGEXMATCH($E265,""Warrior""),""Warrior "","""")&amp;IF(REGEXMATCH($E265,""Spirit""),""Spirit "","""")&amp;IF(REGEXMATCH($E265,""Angel""),""Angel "","""")&amp;IF(REGEXMATCH($E265,""Demon""),""Demon "","""")&amp;IF(REGEXMATCH($E265,""Divine""),""Divine "","""")&amp;IF(REGEXMAT"&amp;"CH($E265,""Elemental""),""Elemental "","""")&amp;IF(REGEXMATCH($E265,""Nature""),""Nature "","""")&amp;IF(REGEXMATCH($E265,""Mortal""),""Mortal "","""")&amp;IF(REGEXMATCH($E265,""Void""),""Void "","""")&amp;IF(REGEXMATCH($E265,""Unearth|Ambush|Ritual|unearth|ambush|ritua"&amp;"l""),""Unearth "","""")&amp;IF(REGEXMATCH($E265,""Unleash|Crystallize|all realms|Crystalborn|crystallize""),""Ramp "","""")&amp;IF(REGEXMATCH($E265,""Demon""),""Demon "","""")&amp;IF(REGEXMATCH($E265,""bury|buries|Bury|Buries|Cleanse|puts a Unit|trail|Trail""),""Cont"&amp;"rol "","""")&amp;IF(REGEXMATCH($E265,""Bounce|Return|Copy|bounce|return|copy""),""Copy "","""")&amp;IF(REGEXMATCH($E265,""conquer|Conquer|leading in lanes|lead by""),""Aggro "","""")&amp;IF(REGEXMATCH($E265,""Ascend|ascend""),""Ascend "","""")&amp;IF(REGEXMATCH($E265,""B"&amp;"ury .+ Crystal|.*crystal.*bury""),""Empty-Crystal"","""")&amp;IF(REGEXMATCH($E265,""Move|move""),""Move"","""")"),"Ramp Control ")</f>
        <v>Ramp Control </v>
      </c>
      <c r="G265" s="12" t="s">
        <v>1143</v>
      </c>
      <c r="H265" s="11">
        <v>6.0</v>
      </c>
      <c r="I265" s="11" t="s">
        <v>1144</v>
      </c>
      <c r="J265" s="11" t="s">
        <v>33</v>
      </c>
      <c r="L265" s="13" t="str">
        <f>IFERROR(__xludf.DUMMYFUNCTION("IF(REGEXMATCH($B265,L$1),$D265,"""")"),"")</f>
        <v/>
      </c>
      <c r="M265" s="13" t="str">
        <f>IFERROR(__xludf.DUMMYFUNCTION("IF(REGEXMATCH($B265,M$1),$D265,"""")"),"Dinosaur Plant")</f>
        <v>Dinosaur Plant</v>
      </c>
      <c r="N265" s="13" t="str">
        <f>IFERROR(__xludf.DUMMYFUNCTION("IF(REGEXMATCH($B265,N$1),$D265,"""")"),"")</f>
        <v/>
      </c>
      <c r="O265" s="13" t="str">
        <f>IFERROR(__xludf.DUMMYFUNCTION("IF(REGEXMATCH($B265,O$1),$D265,"""")"),"")</f>
        <v/>
      </c>
      <c r="P265" s="13" t="str">
        <f>IFERROR(__xludf.DUMMYFUNCTION("IF(REGEXMATCH($B265,P$1),$D265,"""")"),"")</f>
        <v/>
      </c>
      <c r="Q265" s="13">
        <f>IFERROR(__xludf.DUMMYFUNCTION("IF($A265="""","""",LEN(REGEXREPLACE($I265,"",\s?"","""")))"),7.0)</f>
        <v>7</v>
      </c>
      <c r="S265" s="13"/>
      <c r="T265" s="13"/>
      <c r="U265" s="13"/>
      <c r="V265" s="13"/>
      <c r="W265" s="13"/>
      <c r="X265" s="13"/>
      <c r="Y265" s="13"/>
      <c r="Z265" s="13"/>
      <c r="AA265" s="13"/>
      <c r="AB265" s="13"/>
    </row>
    <row r="266">
      <c r="A266" s="29" t="s">
        <v>1145</v>
      </c>
      <c r="B266" s="10" t="s">
        <v>12</v>
      </c>
      <c r="C266" s="11">
        <v>1.0</v>
      </c>
      <c r="D266" s="11" t="s">
        <v>1044</v>
      </c>
      <c r="E266" s="10" t="s">
        <v>1146</v>
      </c>
      <c r="F266" s="10" t="str">
        <f>IFERROR(__xludf.DUMMYFUNCTION("IF(REGEXMATCH($E266,""Wizard""),""Wizard "","""")&amp;IF(REGEXMATCH($E266,""Construct""),""Construct "","""")&amp;IF(REGEXMATCH($E266,""Insect""),""Insect "","""")&amp;IF(REGEXMATCH($E266,""Dragon""),""Dragon "","""")&amp;IF(REGEXMATCH($E266,""Human""),""Human "","""")&amp;I"&amp;"F(REGEXMATCH($E266,""Hunter""),""Hunter "","""")&amp;IF(REGEXMATCH($E266,""Animal""),""Animal "","""")&amp;IF(REGEXMATCH($E266,""Undead""),""Undead "","""")&amp;IF(REGEXMATCH($E266,""Plant""),""Plant "","""")&amp;IF(REGEXMATCH($E266,""Dinosaur""),""Dinosaur "","""")&amp;IF(R"&amp;"EGEXMATCH($E266,""Warrior""),""Warrior "","""")&amp;IF(REGEXMATCH($E266,""Spirit""),""Spirit "","""")&amp;IF(REGEXMATCH($E266,""Angel""),""Angel "","""")&amp;IF(REGEXMATCH($E266,""Demon""),""Demon "","""")&amp;IF(REGEXMATCH($E266,""Divine""),""Divine "","""")&amp;IF(REGEXMAT"&amp;"CH($E266,""Elemental""),""Elemental "","""")&amp;IF(REGEXMATCH($E266,""Nature""),""Nature "","""")&amp;IF(REGEXMATCH($E266,""Mortal""),""Mortal "","""")&amp;IF(REGEXMATCH($E266,""Void""),""Void "","""")&amp;IF(REGEXMATCH($E266,""Unearth|Ambush|Ritual|unearth|ambush|ritua"&amp;"l""),""Unearth "","""")&amp;IF(REGEXMATCH($E266,""Unleash|Crystallize|all realms|Crystalborn|crystallize""),""Ramp "","""")&amp;IF(REGEXMATCH($E266,""Demon""),""Demon "","""")&amp;IF(REGEXMATCH($E266,""bury|buries|Bury|Buries|Cleanse|puts a Unit|trail|Trail""),""Cont"&amp;"rol "","""")&amp;IF(REGEXMATCH($E266,""Bounce|Return|Copy|bounce|return|copy""),""Copy "","""")&amp;IF(REGEXMATCH($E266,""conquer|Conquer|leading in lanes|lead by""),""Aggro "","""")&amp;IF(REGEXMATCH($E266,""Ascend|ascend""),""Ascend "","""")&amp;IF(REGEXMATCH($E266,""B"&amp;"ury .+ Crystal|.*crystal.*bury""),""Empty-Crystal"","""")&amp;IF(REGEXMATCH($E266,""Move|move""),""Move"","""")"),"Dinosaur ")</f>
        <v>Dinosaur </v>
      </c>
      <c r="G266" s="12" t="s">
        <v>1147</v>
      </c>
      <c r="H266" s="11">
        <v>4.0</v>
      </c>
      <c r="I266" s="11" t="s">
        <v>1014</v>
      </c>
      <c r="J266" s="11" t="s">
        <v>42</v>
      </c>
      <c r="L266" s="13" t="str">
        <f>IFERROR(__xludf.DUMMYFUNCTION("IF(REGEXMATCH($B266,L$1),$D266,"""")"),"")</f>
        <v/>
      </c>
      <c r="M266" s="13" t="str">
        <f>IFERROR(__xludf.DUMMYFUNCTION("IF(REGEXMATCH($B266,M$1),$D266,"""")"),"Dinosaur Spirit")</f>
        <v>Dinosaur Spirit</v>
      </c>
      <c r="N266" s="13" t="str">
        <f>IFERROR(__xludf.DUMMYFUNCTION("IF(REGEXMATCH($B266,N$1),$D266,"""")"),"")</f>
        <v/>
      </c>
      <c r="O266" s="13" t="str">
        <f>IFERROR(__xludf.DUMMYFUNCTION("IF(REGEXMATCH($B266,O$1),$D266,"""")"),"")</f>
        <v/>
      </c>
      <c r="P266" s="13" t="str">
        <f>IFERROR(__xludf.DUMMYFUNCTION("IF(REGEXMATCH($B266,P$1),$D266,"""")"),"")</f>
        <v/>
      </c>
      <c r="Q266" s="13">
        <f>IFERROR(__xludf.DUMMYFUNCTION("IF($A266="""","""",LEN(REGEXREPLACE($I266,"",\s?"","""")))"),5.0)</f>
        <v>5</v>
      </c>
      <c r="S266" s="13"/>
      <c r="T266" s="13"/>
      <c r="U266" s="13"/>
      <c r="V266" s="13"/>
      <c r="W266" s="13"/>
      <c r="X266" s="13"/>
      <c r="Y266" s="13"/>
      <c r="Z266" s="13"/>
      <c r="AA266" s="13"/>
      <c r="AB266" s="13"/>
    </row>
    <row r="267">
      <c r="A267" s="10" t="s">
        <v>1148</v>
      </c>
      <c r="B267" s="10" t="s">
        <v>12</v>
      </c>
      <c r="C267" s="11">
        <v>1.0</v>
      </c>
      <c r="D267" s="11" t="s">
        <v>1149</v>
      </c>
      <c r="E267" s="45" t="s">
        <v>1150</v>
      </c>
      <c r="F267" s="10" t="str">
        <f>IFERROR(__xludf.DUMMYFUNCTION("IF(REGEXMATCH($E267,""Wizard""),""Wizard "","""")&amp;IF(REGEXMATCH($E267,""Construct""),""Construct "","""")&amp;IF(REGEXMATCH($E267,""Insect""),""Insect "","""")&amp;IF(REGEXMATCH($E267,""Dragon""),""Dragon "","""")&amp;IF(REGEXMATCH($E267,""Human""),""Human "","""")&amp;I"&amp;"F(REGEXMATCH($E267,""Hunter""),""Hunter "","""")&amp;IF(REGEXMATCH($E267,""Animal""),""Animal "","""")&amp;IF(REGEXMATCH($E267,""Undead""),""Undead "","""")&amp;IF(REGEXMATCH($E267,""Plant""),""Plant "","""")&amp;IF(REGEXMATCH($E267,""Dinosaur""),""Dinosaur "","""")&amp;IF(R"&amp;"EGEXMATCH($E267,""Warrior""),""Warrior "","""")&amp;IF(REGEXMATCH($E267,""Spirit""),""Spirit "","""")&amp;IF(REGEXMATCH($E267,""Angel""),""Angel "","""")&amp;IF(REGEXMATCH($E267,""Demon""),""Demon "","""")&amp;IF(REGEXMATCH($E267,""Divine""),""Divine "","""")&amp;IF(REGEXMAT"&amp;"CH($E267,""Elemental""),""Elemental "","""")&amp;IF(REGEXMATCH($E267,""Nature""),""Nature "","""")&amp;IF(REGEXMATCH($E267,""Mortal""),""Mortal "","""")&amp;IF(REGEXMATCH($E267,""Void""),""Void "","""")&amp;IF(REGEXMATCH($E267,""Unearth|Ambush|Ritual|unearth|ambush|ritua"&amp;"l""),""Unearth "","""")&amp;IF(REGEXMATCH($E267,""Unleash|Crystallize|all realms|Crystalborn|crystallize""),""Ramp "","""")&amp;IF(REGEXMATCH($E267,""Demon""),""Demon "","""")&amp;IF(REGEXMATCH($E267,""bury|buries|Bury|Buries|Cleanse|puts a Unit|trail|Trail""),""Cont"&amp;"rol "","""")&amp;IF(REGEXMATCH($E267,""Bounce|Return|Copy|bounce|return|copy""),""Copy "","""")&amp;IF(REGEXMATCH($E267,""conquer|Conquer|leading in lanes|lead by""),""Aggro "","""")&amp;IF(REGEXMATCH($E267,""Ascend|ascend""),""Ascend "","""")&amp;IF(REGEXMATCH($E267,""B"&amp;"ury .+ Crystal|.*crystal.*bury""),""Empty-Crystal"","""")&amp;IF(REGEXMATCH($E267,""Move|move""),""Move"","""")"),"Ramp ")</f>
        <v>Ramp </v>
      </c>
      <c r="G267" s="12" t="s">
        <v>1151</v>
      </c>
      <c r="H267" s="11">
        <v>4.0</v>
      </c>
      <c r="I267" s="11" t="s">
        <v>1152</v>
      </c>
      <c r="J267" s="11" t="s">
        <v>33</v>
      </c>
      <c r="L267" s="13" t="str">
        <f>IFERROR(__xludf.DUMMYFUNCTION("IF(REGEXMATCH($B267,L$1),$D267,"""")"),"")</f>
        <v/>
      </c>
      <c r="M267" s="13" t="str">
        <f>IFERROR(__xludf.DUMMYFUNCTION("IF(REGEXMATCH($B267,M$1),$D267,"""")"),"Dinosaur Wizard")</f>
        <v>Dinosaur Wizard</v>
      </c>
      <c r="N267" s="13" t="str">
        <f>IFERROR(__xludf.DUMMYFUNCTION("IF(REGEXMATCH($B267,N$1),$D267,"""")"),"")</f>
        <v/>
      </c>
      <c r="O267" s="13" t="str">
        <f>IFERROR(__xludf.DUMMYFUNCTION("IF(REGEXMATCH($B267,O$1),$D267,"""")"),"")</f>
        <v/>
      </c>
      <c r="P267" s="13" t="str">
        <f>IFERROR(__xludf.DUMMYFUNCTION("IF(REGEXMATCH($B267,P$1),$D267,"""")"),"")</f>
        <v/>
      </c>
      <c r="Q267" s="13">
        <f>IFERROR(__xludf.DUMMYFUNCTION("IF($A267="""","""",LEN(REGEXREPLACE($I267,"",\s?"","""")))"),2.0)</f>
        <v>2</v>
      </c>
      <c r="S267" s="13"/>
      <c r="T267" s="13"/>
      <c r="U267" s="13"/>
      <c r="V267" s="13"/>
      <c r="W267" s="13"/>
      <c r="X267" s="13"/>
      <c r="Y267" s="13"/>
      <c r="Z267" s="13"/>
      <c r="AA267" s="13"/>
      <c r="AB267" s="13"/>
    </row>
    <row r="268" ht="15.75" hidden="1" customHeight="1">
      <c r="A268" s="19" t="s">
        <v>1153</v>
      </c>
      <c r="B268" s="84" t="s">
        <v>13</v>
      </c>
      <c r="C268" s="18">
        <v>2.0</v>
      </c>
      <c r="D268" s="18" t="s">
        <v>1154</v>
      </c>
      <c r="E268" s="30" t="s">
        <v>1155</v>
      </c>
      <c r="F268" s="10" t="str">
        <f>IFERROR(__xludf.DUMMYFUNCTION("IF(REGEXMATCH($E268,""Wizard""),""Wizard "","""")&amp;IF(REGEXMATCH($E268,""Construct""),""Construct "","""")&amp;IF(REGEXMATCH($E268,""Insect""),""Insect "","""")&amp;IF(REGEXMATCH($E268,""Dragon""),""Dragon "","""")&amp;IF(REGEXMATCH($E268,""Human""),""Human "","""")&amp;I"&amp;"F(REGEXMATCH($E268,""Hunter""),""Hunter "","""")&amp;IF(REGEXMATCH($E268,""Animal""),""Animal "","""")&amp;IF(REGEXMATCH($E268,""Undead""),""Undead "","""")&amp;IF(REGEXMATCH($E268,""Plant""),""Plant "","""")&amp;IF(REGEXMATCH($E268,""Dinosaur""),""Dinosaur "","""")&amp;IF(R"&amp;"EGEXMATCH($E268,""Warrior""),""Warrior "","""")&amp;IF(REGEXMATCH($E268,""Spirit""),""Spirit "","""")&amp;IF(REGEXMATCH($E268,""Angel""),""Angel "","""")&amp;IF(REGEXMATCH($E268,""Demon""),""Demon "","""")&amp;IF(REGEXMATCH($E268,""Divine""),""Divine "","""")&amp;IF(REGEXMAT"&amp;"CH($E268,""Elemental""),""Elemental "","""")&amp;IF(REGEXMATCH($E268,""Nature""),""Nature "","""")&amp;IF(REGEXMATCH($E268,""Mortal""),""Mortal "","""")&amp;IF(REGEXMATCH($E268,""Void""),""Void "","""")&amp;IF(REGEXMATCH($E268,""Unearth|Ambush|Ritual|unearth|ambush|ritua"&amp;"l""),""Unearth "","""")&amp;IF(REGEXMATCH($E268,""Unleash|Crystallize|all realms|Crystalborn|crystallize""),""Ramp "","""")&amp;IF(REGEXMATCH($E268,""Demon""),""Demon "","""")&amp;IF(REGEXMATCH($E268,""bury|buries|Bury|Buries|Cleanse|puts a Unit|trail|Trail""),""Cont"&amp;"rol "","""")&amp;IF(REGEXMATCH($E268,""Bounce|Return|Copy|bounce|return|copy""),""Copy "","""")&amp;IF(REGEXMATCH($E268,""conquer|Conquer|leading in lanes|lead by""),""Aggro "","""")&amp;IF(REGEXMATCH($E268,""Ascend|ascend""),""Ascend "","""")&amp;IF(REGEXMATCH($E268,""B"&amp;"ury .+ Crystal|.*crystal.*bury""),""Empty-Crystal"","""")&amp;IF(REGEXMATCH($E268,""Move|move""),""Move"","""")"),"Control ")</f>
        <v>Control </v>
      </c>
      <c r="G268" s="20" t="s">
        <v>1156</v>
      </c>
      <c r="H268" s="18">
        <v>4.0</v>
      </c>
      <c r="I268" s="18" t="s">
        <v>1157</v>
      </c>
      <c r="J268" s="11" t="s">
        <v>33</v>
      </c>
      <c r="L268" s="13" t="str">
        <f>IFERROR(__xludf.DUMMYFUNCTION("IF(REGEXMATCH($B268,L$1),$D268,"""")"),"")</f>
        <v/>
      </c>
      <c r="M268" s="13" t="str">
        <f>IFERROR(__xludf.DUMMYFUNCTION("IF(REGEXMATCH($B268,M$1),$D268,"""")"),"")</f>
        <v/>
      </c>
      <c r="N268" s="13" t="str">
        <f>IFERROR(__xludf.DUMMYFUNCTION("IF(REGEXMATCH($B268,N$1),$D268,"""")"),"Demon Warrior")</f>
        <v>Demon Warrior</v>
      </c>
      <c r="O268" s="13" t="str">
        <f>IFERROR(__xludf.DUMMYFUNCTION("IF(REGEXMATCH($B268,O$1),$D268,"""")"),"")</f>
        <v/>
      </c>
      <c r="P268" s="13" t="str">
        <f>IFERROR(__xludf.DUMMYFUNCTION("IF(REGEXMATCH($B268,P$1),$D268,"""")"),"")</f>
        <v/>
      </c>
      <c r="Q268" s="13">
        <f>IFERROR(__xludf.DUMMYFUNCTION("IF($A268="""","""",LEN(REGEXREPLACE($I268,"",\s?"","""")))"),7.0)</f>
        <v>7</v>
      </c>
      <c r="S268" s="13"/>
      <c r="T268" s="13"/>
      <c r="U268" s="13"/>
      <c r="V268" s="13"/>
      <c r="W268" s="13"/>
      <c r="X268" s="13"/>
      <c r="Y268" s="13"/>
      <c r="Z268" s="13"/>
      <c r="AA268" s="13"/>
      <c r="AB268" s="13"/>
    </row>
    <row r="269">
      <c r="A269" s="69" t="s">
        <v>1158</v>
      </c>
      <c r="B269" s="10" t="s">
        <v>12</v>
      </c>
      <c r="C269" s="11">
        <v>1.0</v>
      </c>
      <c r="D269" s="11" t="s">
        <v>1067</v>
      </c>
      <c r="E269" s="10" t="s">
        <v>1159</v>
      </c>
      <c r="F269" s="10" t="str">
        <f>IFERROR(__xludf.DUMMYFUNCTION("IF(REGEXMATCH($E269,""Wizard""),""Wizard "","""")&amp;IF(REGEXMATCH($E269,""Construct""),""Construct "","""")&amp;IF(REGEXMATCH($E269,""Insect""),""Insect "","""")&amp;IF(REGEXMATCH($E269,""Dragon""),""Dragon "","""")&amp;IF(REGEXMATCH($E269,""Human""),""Human "","""")&amp;I"&amp;"F(REGEXMATCH($E269,""Hunter""),""Hunter "","""")&amp;IF(REGEXMATCH($E269,""Animal""),""Animal "","""")&amp;IF(REGEXMATCH($E269,""Undead""),""Undead "","""")&amp;IF(REGEXMATCH($E269,""Plant""),""Plant "","""")&amp;IF(REGEXMATCH($E269,""Dinosaur""),""Dinosaur "","""")&amp;IF(R"&amp;"EGEXMATCH($E269,""Warrior""),""Warrior "","""")&amp;IF(REGEXMATCH($E269,""Spirit""),""Spirit "","""")&amp;IF(REGEXMATCH($E269,""Angel""),""Angel "","""")&amp;IF(REGEXMATCH($E269,""Demon""),""Demon "","""")&amp;IF(REGEXMATCH($E269,""Divine""),""Divine "","""")&amp;IF(REGEXMAT"&amp;"CH($E269,""Elemental""),""Elemental "","""")&amp;IF(REGEXMATCH($E269,""Nature""),""Nature "","""")&amp;IF(REGEXMATCH($E269,""Mortal""),""Mortal "","""")&amp;IF(REGEXMATCH($E269,""Void""),""Void "","""")&amp;IF(REGEXMATCH($E269,""Unearth|Ambush|Ritual|unearth|ambush|ritua"&amp;"l""),""Unearth "","""")&amp;IF(REGEXMATCH($E269,""Unleash|Crystallize|all realms|Crystalborn|crystallize""),""Ramp "","""")&amp;IF(REGEXMATCH($E269,""Demon""),""Demon "","""")&amp;IF(REGEXMATCH($E269,""bury|buries|Bury|Buries|Cleanse|puts a Unit|trail|Trail""),""Cont"&amp;"rol "","""")&amp;IF(REGEXMATCH($E269,""Bounce|Return|Copy|bounce|return|copy""),""Copy "","""")&amp;IF(REGEXMATCH($E269,""conquer|Conquer|leading in lanes|lead by""),""Aggro "","""")&amp;IF(REGEXMATCH($E269,""Ascend|ascend""),""Ascend "","""")&amp;IF(REGEXMATCH($E269,""B"&amp;"ury .+ Crystal|.*crystal.*bury""),""Empty-Crystal"","""")&amp;IF(REGEXMATCH($E269,""Move|move""),""Move"","""")"),"Unearth Control ")</f>
        <v>Unearth Control </v>
      </c>
      <c r="G269" s="12" t="s">
        <v>1160</v>
      </c>
      <c r="H269" s="11">
        <v>2.0</v>
      </c>
      <c r="I269" s="11" t="s">
        <v>953</v>
      </c>
      <c r="J269" s="21" t="s">
        <v>50</v>
      </c>
      <c r="L269" s="13" t="str">
        <f>IFERROR(__xludf.DUMMYFUNCTION("IF(REGEXMATCH($B269,L$1),$D269,"""")"),"")</f>
        <v/>
      </c>
      <c r="M269" s="13" t="str">
        <f>IFERROR(__xludf.DUMMYFUNCTION("IF(REGEXMATCH($B269,M$1),$D269,"""")"),"Hunter Plant")</f>
        <v>Hunter Plant</v>
      </c>
      <c r="N269" s="13" t="str">
        <f>IFERROR(__xludf.DUMMYFUNCTION("IF(REGEXMATCH($B269,N$1),$D269,"""")"),"")</f>
        <v/>
      </c>
      <c r="O269" s="13" t="str">
        <f>IFERROR(__xludf.DUMMYFUNCTION("IF(REGEXMATCH($B269,O$1),$D269,"""")"),"")</f>
        <v/>
      </c>
      <c r="P269" s="13" t="str">
        <f>IFERROR(__xludf.DUMMYFUNCTION("IF(REGEXMATCH($B269,P$1),$D269,"""")"),"")</f>
        <v/>
      </c>
      <c r="Q269" s="13">
        <f>IFERROR(__xludf.DUMMYFUNCTION("IF($A269="""","""",LEN(REGEXREPLACE($I269,"",\s?"","""")))"),4.0)</f>
        <v>4</v>
      </c>
      <c r="S269" s="13"/>
      <c r="T269" s="13"/>
      <c r="U269" s="13"/>
      <c r="V269" s="13"/>
      <c r="W269" s="13"/>
      <c r="X269" s="13"/>
      <c r="Y269" s="13"/>
      <c r="Z269" s="13"/>
      <c r="AA269" s="13"/>
      <c r="AB269" s="13"/>
    </row>
    <row r="270" hidden="1">
      <c r="A270" s="10" t="s">
        <v>1161</v>
      </c>
      <c r="B270" s="83" t="s">
        <v>13</v>
      </c>
      <c r="C270" s="11">
        <v>2.0</v>
      </c>
      <c r="D270" s="11" t="s">
        <v>1162</v>
      </c>
      <c r="E270" s="19" t="s">
        <v>1163</v>
      </c>
      <c r="F270" s="10" t="str">
        <f>IFERROR(__xludf.DUMMYFUNCTION("IF(REGEXMATCH($E270,""Wizard""),""Wizard "","""")&amp;IF(REGEXMATCH($E270,""Construct""),""Construct "","""")&amp;IF(REGEXMATCH($E270,""Insect""),""Insect "","""")&amp;IF(REGEXMATCH($E270,""Dragon""),""Dragon "","""")&amp;IF(REGEXMATCH($E270,""Human""),""Human "","""")&amp;I"&amp;"F(REGEXMATCH($E270,""Hunter""),""Hunter "","""")&amp;IF(REGEXMATCH($E270,""Animal""),""Animal "","""")&amp;IF(REGEXMATCH($E270,""Undead""),""Undead "","""")&amp;IF(REGEXMATCH($E270,""Plant""),""Plant "","""")&amp;IF(REGEXMATCH($E270,""Dinosaur""),""Dinosaur "","""")&amp;IF(R"&amp;"EGEXMATCH($E270,""Warrior""),""Warrior "","""")&amp;IF(REGEXMATCH($E270,""Spirit""),""Spirit "","""")&amp;IF(REGEXMATCH($E270,""Angel""),""Angel "","""")&amp;IF(REGEXMATCH($E270,""Demon""),""Demon "","""")&amp;IF(REGEXMATCH($E270,""Divine""),""Divine "","""")&amp;IF(REGEXMAT"&amp;"CH($E270,""Elemental""),""Elemental "","""")&amp;IF(REGEXMATCH($E270,""Nature""),""Nature "","""")&amp;IF(REGEXMATCH($E270,""Mortal""),""Mortal "","""")&amp;IF(REGEXMATCH($E270,""Void""),""Void "","""")&amp;IF(REGEXMATCH($E270,""Unearth|Ambush|Ritual|unearth|ambush|ritua"&amp;"l""),""Unearth "","""")&amp;IF(REGEXMATCH($E270,""Unleash|Crystallize|all realms|Crystalborn|crystallize""),""Ramp "","""")&amp;IF(REGEXMATCH($E270,""Demon""),""Demon "","""")&amp;IF(REGEXMATCH($E270,""bury|buries|Bury|Buries|Cleanse|puts a Unit|trail|Trail""),""Cont"&amp;"rol "","""")&amp;IF(REGEXMATCH($E270,""Bounce|Return|Copy|bounce|return|copy""),""Copy "","""")&amp;IF(REGEXMATCH($E270,""conquer|Conquer|leading in lanes|lead by""),""Aggro "","""")&amp;IF(REGEXMATCH($E270,""Ascend|ascend""),""Ascend "","""")&amp;IF(REGEXMATCH($E270,""B"&amp;"ury .+ Crystal|.*crystal.*bury""),""Empty-Crystal"","""")&amp;IF(REGEXMATCH($E270,""Move|move""),""Move"","""")"),"Demon Ramp Demon Control ")</f>
        <v>Demon Ramp Demon Control </v>
      </c>
      <c r="G270" s="12" t="s">
        <v>1164</v>
      </c>
      <c r="H270" s="11">
        <v>3.0</v>
      </c>
      <c r="I270" s="11" t="s">
        <v>1165</v>
      </c>
      <c r="J270" s="18" t="s">
        <v>50</v>
      </c>
      <c r="L270" s="13" t="str">
        <f>IFERROR(__xludf.DUMMYFUNCTION("IF(REGEXMATCH($B270,L$1),$D270,"""")"),"")</f>
        <v/>
      </c>
      <c r="M270" s="13" t="str">
        <f>IFERROR(__xludf.DUMMYFUNCTION("IF(REGEXMATCH($B270,M$1),$D270,"""")"),"")</f>
        <v/>
      </c>
      <c r="N270" s="13" t="str">
        <f>IFERROR(__xludf.DUMMYFUNCTION("IF(REGEXMATCH($B270,N$1),$D270,"""")"),"Demon")</f>
        <v>Demon</v>
      </c>
      <c r="O270" s="13" t="str">
        <f>IFERROR(__xludf.DUMMYFUNCTION("IF(REGEXMATCH($B270,O$1),$D270,"""")"),"")</f>
        <v/>
      </c>
      <c r="P270" s="13" t="str">
        <f>IFERROR(__xludf.DUMMYFUNCTION("IF(REGEXMATCH($B270,P$1),$D270,"""")"),"")</f>
        <v/>
      </c>
      <c r="Q270" s="13">
        <f>IFERROR(__xludf.DUMMYFUNCTION("IF($A270="""","""",LEN(REGEXREPLACE($I270,"",\s?"","""")))"),3.0)</f>
        <v>3</v>
      </c>
      <c r="S270" s="13"/>
      <c r="T270" s="13"/>
      <c r="U270" s="13"/>
      <c r="V270" s="13"/>
      <c r="W270" s="13"/>
      <c r="X270" s="13"/>
      <c r="Y270" s="13"/>
      <c r="Z270" s="13"/>
      <c r="AA270" s="13"/>
      <c r="AB270" s="13"/>
    </row>
    <row r="271" hidden="1">
      <c r="A271" s="10" t="s">
        <v>1166</v>
      </c>
      <c r="B271" s="83" t="s">
        <v>13</v>
      </c>
      <c r="C271" s="11">
        <v>2.0</v>
      </c>
      <c r="D271" s="11" t="s">
        <v>107</v>
      </c>
      <c r="E271" s="85" t="s">
        <v>1167</v>
      </c>
      <c r="F271" s="10" t="str">
        <f>IFERROR(__xludf.DUMMYFUNCTION("IF(REGEXMATCH($E271,""Wizard""),""Wizard "","""")&amp;IF(REGEXMATCH($E271,""Construct""),""Construct "","""")&amp;IF(REGEXMATCH($E271,""Insect""),""Insect "","""")&amp;IF(REGEXMATCH($E271,""Dragon""),""Dragon "","""")&amp;IF(REGEXMATCH($E271,""Human""),""Human "","""")&amp;I"&amp;"F(REGEXMATCH($E271,""Hunter""),""Hunter "","""")&amp;IF(REGEXMATCH($E271,""Animal""),""Animal "","""")&amp;IF(REGEXMATCH($E271,""Undead""),""Undead "","""")&amp;IF(REGEXMATCH($E271,""Plant""),""Plant "","""")&amp;IF(REGEXMATCH($E271,""Dinosaur""),""Dinosaur "","""")&amp;IF(R"&amp;"EGEXMATCH($E271,""Warrior""),""Warrior "","""")&amp;IF(REGEXMATCH($E271,""Spirit""),""Spirit "","""")&amp;IF(REGEXMATCH($E271,""Angel""),""Angel "","""")&amp;IF(REGEXMATCH($E271,""Demon""),""Demon "","""")&amp;IF(REGEXMATCH($E271,""Divine""),""Divine "","""")&amp;IF(REGEXMAT"&amp;"CH($E271,""Elemental""),""Elemental "","""")&amp;IF(REGEXMATCH($E271,""Nature""),""Nature "","""")&amp;IF(REGEXMATCH($E271,""Mortal""),""Mortal "","""")&amp;IF(REGEXMATCH($E271,""Void""),""Void "","""")&amp;IF(REGEXMATCH($E271,""Unearth|Ambush|Ritual|unearth|ambush|ritua"&amp;"l""),""Unearth "","""")&amp;IF(REGEXMATCH($E271,""Unleash|Crystallize|all realms|Crystalborn|crystallize""),""Ramp "","""")&amp;IF(REGEXMATCH($E271,""Demon""),""Demon "","""")&amp;IF(REGEXMATCH($E271,""bury|buries|Bury|Buries|Cleanse|puts a Unit|trail|Trail""),""Cont"&amp;"rol "","""")&amp;IF(REGEXMATCH($E271,""Bounce|Return|Copy|bounce|return|copy""),""Copy "","""")&amp;IF(REGEXMATCH($E271,""conquer|Conquer|leading in lanes|lead by""),""Aggro "","""")&amp;IF(REGEXMATCH($E271,""Ascend|ascend""),""Ascend "","""")&amp;IF(REGEXMATCH($E271,""B"&amp;"ury .+ Crystal|.*crystal.*bury""),""Empty-Crystal"","""")&amp;IF(REGEXMATCH($E271,""Move|move""),""Move"","""")"),"")</f>
        <v/>
      </c>
      <c r="G271" s="12" t="s">
        <v>1168</v>
      </c>
      <c r="H271" s="11">
        <v>0.0</v>
      </c>
      <c r="I271" s="11" t="s">
        <v>1169</v>
      </c>
      <c r="J271" s="18" t="s">
        <v>50</v>
      </c>
      <c r="L271" s="13" t="str">
        <f>IFERROR(__xludf.DUMMYFUNCTION("IF(REGEXMATCH($B271,L$1),$D271,"""")"),"")</f>
        <v/>
      </c>
      <c r="M271" s="13" t="str">
        <f>IFERROR(__xludf.DUMMYFUNCTION("IF(REGEXMATCH($B271,M$1),$D271,"""")"),"")</f>
        <v/>
      </c>
      <c r="N271" s="13" t="str">
        <f>IFERROR(__xludf.DUMMYFUNCTION("IF(REGEXMATCH($B271,N$1),$D271,"""")"),"Construct Demon")</f>
        <v>Construct Demon</v>
      </c>
      <c r="O271" s="13" t="str">
        <f>IFERROR(__xludf.DUMMYFUNCTION("IF(REGEXMATCH($B271,O$1),$D271,"""")"),"")</f>
        <v/>
      </c>
      <c r="P271" s="13" t="str">
        <f>IFERROR(__xludf.DUMMYFUNCTION("IF(REGEXMATCH($B271,P$1),$D271,"""")"),"")</f>
        <v/>
      </c>
      <c r="Q271" s="13">
        <f>IFERROR(__xludf.DUMMYFUNCTION("IF($A271="""","""",LEN(REGEXREPLACE($I271,"",\s?"","""")))"),2.0)</f>
        <v>2</v>
      </c>
      <c r="S271" s="13"/>
      <c r="T271" s="13"/>
      <c r="U271" s="13"/>
      <c r="V271" s="13"/>
      <c r="W271" s="13"/>
      <c r="X271" s="13"/>
      <c r="Y271" s="13"/>
      <c r="Z271" s="13"/>
      <c r="AA271" s="13"/>
      <c r="AB271" s="13"/>
    </row>
    <row r="272">
      <c r="A272" s="10" t="s">
        <v>1170</v>
      </c>
      <c r="B272" s="10" t="s">
        <v>12</v>
      </c>
      <c r="C272" s="11">
        <v>1.0</v>
      </c>
      <c r="D272" s="11" t="s">
        <v>519</v>
      </c>
      <c r="E272" s="45" t="s">
        <v>1171</v>
      </c>
      <c r="F272" s="10" t="str">
        <f>IFERROR(__xludf.DUMMYFUNCTION("IF(REGEXMATCH($E272,""Wizard""),""Wizard "","""")&amp;IF(REGEXMATCH($E272,""Construct""),""Construct "","""")&amp;IF(REGEXMATCH($E272,""Insect""),""Insect "","""")&amp;IF(REGEXMATCH($E272,""Dragon""),""Dragon "","""")&amp;IF(REGEXMATCH($E272,""Human""),""Human "","""")&amp;I"&amp;"F(REGEXMATCH($E272,""Hunter""),""Hunter "","""")&amp;IF(REGEXMATCH($E272,""Animal""),""Animal "","""")&amp;IF(REGEXMATCH($E272,""Undead""),""Undead "","""")&amp;IF(REGEXMATCH($E272,""Plant""),""Plant "","""")&amp;IF(REGEXMATCH($E272,""Dinosaur""),""Dinosaur "","""")&amp;IF(R"&amp;"EGEXMATCH($E272,""Warrior""),""Warrior "","""")&amp;IF(REGEXMATCH($E272,""Spirit""),""Spirit "","""")&amp;IF(REGEXMATCH($E272,""Angel""),""Angel "","""")&amp;IF(REGEXMATCH($E272,""Demon""),""Demon "","""")&amp;IF(REGEXMATCH($E272,""Divine""),""Divine "","""")&amp;IF(REGEXMAT"&amp;"CH($E272,""Elemental""),""Elemental "","""")&amp;IF(REGEXMATCH($E272,""Nature""),""Nature "","""")&amp;IF(REGEXMATCH($E272,""Mortal""),""Mortal "","""")&amp;IF(REGEXMATCH($E272,""Void""),""Void "","""")&amp;IF(REGEXMATCH($E272,""Unearth|Ambush|Ritual|unearth|ambush|ritua"&amp;"l""),""Unearth "","""")&amp;IF(REGEXMATCH($E272,""Unleash|Crystallize|all realms|Crystalborn|crystallize""),""Ramp "","""")&amp;IF(REGEXMATCH($E272,""Demon""),""Demon "","""")&amp;IF(REGEXMATCH($E272,""bury|buries|Bury|Buries|Cleanse|puts a Unit|trail|Trail""),""Cont"&amp;"rol "","""")&amp;IF(REGEXMATCH($E272,""Bounce|Return|Copy|bounce|return|copy""),""Copy "","""")&amp;IF(REGEXMATCH($E272,""conquer|Conquer|leading in lanes|lead by""),""Aggro "","""")&amp;IF(REGEXMATCH($E272,""Ascend|ascend""),""Ascend "","""")&amp;IF(REGEXMATCH($E272,""B"&amp;"ury .+ Crystal|.*crystal.*bury""),""Empty-Crystal"","""")&amp;IF(REGEXMATCH($E272,""Move|move""),""Move"","""")"),"Insect Move")</f>
        <v>Insect Move</v>
      </c>
      <c r="G272" s="12" t="s">
        <v>1172</v>
      </c>
      <c r="H272" s="11">
        <v>3.0</v>
      </c>
      <c r="I272" s="11" t="s">
        <v>953</v>
      </c>
      <c r="J272" s="11" t="s">
        <v>50</v>
      </c>
      <c r="L272" s="13" t="str">
        <f>IFERROR(__xludf.DUMMYFUNCTION("IF(REGEXMATCH($B272,L$1),$D272,"""")"),"")</f>
        <v/>
      </c>
      <c r="M272" s="13" t="str">
        <f>IFERROR(__xludf.DUMMYFUNCTION("IF(REGEXMATCH($B272,M$1),$D272,"""")"),"Insect")</f>
        <v>Insect</v>
      </c>
      <c r="N272" s="13" t="str">
        <f>IFERROR(__xludf.DUMMYFUNCTION("IF(REGEXMATCH($B272,N$1),$D272,"""")"),"")</f>
        <v/>
      </c>
      <c r="O272" s="13" t="str">
        <f>IFERROR(__xludf.DUMMYFUNCTION("IF(REGEXMATCH($B272,O$1),$D272,"""")"),"")</f>
        <v/>
      </c>
      <c r="P272" s="13" t="str">
        <f>IFERROR(__xludf.DUMMYFUNCTION("IF(REGEXMATCH($B272,P$1),$D272,"""")"),"")</f>
        <v/>
      </c>
      <c r="Q272" s="13">
        <f>IFERROR(__xludf.DUMMYFUNCTION("IF($A272="""","""",LEN(REGEXREPLACE($I272,"",\s?"","""")))"),4.0)</f>
        <v>4</v>
      </c>
      <c r="S272" s="13"/>
      <c r="T272" s="13"/>
      <c r="U272" s="13"/>
      <c r="V272" s="13"/>
      <c r="W272" s="13"/>
      <c r="X272" s="13"/>
      <c r="Y272" s="13"/>
      <c r="Z272" s="13"/>
      <c r="AA272" s="13"/>
      <c r="AB272" s="13"/>
    </row>
    <row r="273" hidden="1">
      <c r="A273" s="19" t="s">
        <v>1173</v>
      </c>
      <c r="B273" s="83" t="s">
        <v>13</v>
      </c>
      <c r="C273" s="11">
        <v>2.0</v>
      </c>
      <c r="D273" s="11" t="s">
        <v>203</v>
      </c>
      <c r="E273" s="10" t="s">
        <v>1174</v>
      </c>
      <c r="F273" s="10" t="str">
        <f>IFERROR(__xludf.DUMMYFUNCTION("IF(REGEXMATCH($E273,""Wizard""),""Wizard "","""")&amp;IF(REGEXMATCH($E273,""Construct""),""Construct "","""")&amp;IF(REGEXMATCH($E273,""Insect""),""Insect "","""")&amp;IF(REGEXMATCH($E273,""Dragon""),""Dragon "","""")&amp;IF(REGEXMATCH($E273,""Human""),""Human "","""")&amp;I"&amp;"F(REGEXMATCH($E273,""Hunter""),""Hunter "","""")&amp;IF(REGEXMATCH($E273,""Animal""),""Animal "","""")&amp;IF(REGEXMATCH($E273,""Undead""),""Undead "","""")&amp;IF(REGEXMATCH($E273,""Plant""),""Plant "","""")&amp;IF(REGEXMATCH($E273,""Dinosaur""),""Dinosaur "","""")&amp;IF(R"&amp;"EGEXMATCH($E273,""Warrior""),""Warrior "","""")&amp;IF(REGEXMATCH($E273,""Spirit""),""Spirit "","""")&amp;IF(REGEXMATCH($E273,""Angel""),""Angel "","""")&amp;IF(REGEXMATCH($E273,""Demon""),""Demon "","""")&amp;IF(REGEXMATCH($E273,""Divine""),""Divine "","""")&amp;IF(REGEXMAT"&amp;"CH($E273,""Elemental""),""Elemental "","""")&amp;IF(REGEXMATCH($E273,""Nature""),""Nature "","""")&amp;IF(REGEXMATCH($E273,""Mortal""),""Mortal "","""")&amp;IF(REGEXMATCH($E273,""Void""),""Void "","""")&amp;IF(REGEXMATCH($E273,""Unearth|Ambush|Ritual|unearth|ambush|ritua"&amp;"l""),""Unearth "","""")&amp;IF(REGEXMATCH($E273,""Unleash|Crystallize|all realms|Crystalborn|crystallize""),""Ramp "","""")&amp;IF(REGEXMATCH($E273,""Demon""),""Demon "","""")&amp;IF(REGEXMATCH($E273,""bury|buries|Bury|Buries|Cleanse|puts a Unit|trail|Trail""),""Cont"&amp;"rol "","""")&amp;IF(REGEXMATCH($E273,""Bounce|Return|Copy|bounce|return|copy""),""Copy "","""")&amp;IF(REGEXMATCH($E273,""conquer|Conquer|leading in lanes|lead by""),""Aggro "","""")&amp;IF(REGEXMATCH($E273,""Ascend|ascend""),""Ascend "","""")&amp;IF(REGEXMATCH($E273,""B"&amp;"ury .+ Crystal|.*crystal.*bury""),""Empty-Crystal"","""")&amp;IF(REGEXMATCH($E273,""Move|move""),""Move"","""")"),"Control ")</f>
        <v>Control </v>
      </c>
      <c r="G273" s="12" t="s">
        <v>1175</v>
      </c>
      <c r="H273" s="11">
        <v>3.0</v>
      </c>
      <c r="I273" s="11" t="s">
        <v>1165</v>
      </c>
      <c r="J273" s="11" t="s">
        <v>42</v>
      </c>
      <c r="L273" s="13" t="str">
        <f>IFERROR(__xludf.DUMMYFUNCTION("IF(REGEXMATCH($B273,L$1),$D273,"""")"),"")</f>
        <v/>
      </c>
      <c r="M273" s="13" t="str">
        <f>IFERROR(__xludf.DUMMYFUNCTION("IF(REGEXMATCH($B273,M$1),$D273,"""")"),"")</f>
        <v/>
      </c>
      <c r="N273" s="13" t="str">
        <f>IFERROR(__xludf.DUMMYFUNCTION("IF(REGEXMATCH($B273,N$1),$D273,"""")"),"Animal Undead")</f>
        <v>Animal Undead</v>
      </c>
      <c r="O273" s="13" t="str">
        <f>IFERROR(__xludf.DUMMYFUNCTION("IF(REGEXMATCH($B273,O$1),$D273,"""")"),"")</f>
        <v/>
      </c>
      <c r="P273" s="13" t="str">
        <f>IFERROR(__xludf.DUMMYFUNCTION("IF(REGEXMATCH($B273,P$1),$D273,"""")"),"")</f>
        <v/>
      </c>
      <c r="Q273" s="13">
        <f>IFERROR(__xludf.DUMMYFUNCTION("IF($A273="""","""",LEN(REGEXREPLACE($I273,"",\s?"","""")))"),3.0)</f>
        <v>3</v>
      </c>
      <c r="S273" s="13"/>
      <c r="T273" s="13"/>
      <c r="U273" s="13"/>
      <c r="V273" s="13"/>
      <c r="W273" s="13"/>
      <c r="X273" s="13"/>
      <c r="Y273" s="13"/>
      <c r="Z273" s="13"/>
      <c r="AA273" s="13"/>
      <c r="AB273" s="13"/>
    </row>
    <row r="274" hidden="1">
      <c r="A274" s="19" t="s">
        <v>1176</v>
      </c>
      <c r="B274" s="84" t="s">
        <v>13</v>
      </c>
      <c r="C274" s="18">
        <v>2.0</v>
      </c>
      <c r="D274" s="18" t="s">
        <v>707</v>
      </c>
      <c r="E274" s="19" t="s">
        <v>1177</v>
      </c>
      <c r="F274" s="10" t="str">
        <f>IFERROR(__xludf.DUMMYFUNCTION("IF(REGEXMATCH($E274,""Wizard""),""Wizard "","""")&amp;IF(REGEXMATCH($E274,""Construct""),""Construct "","""")&amp;IF(REGEXMATCH($E274,""Insect""),""Insect "","""")&amp;IF(REGEXMATCH($E274,""Dragon""),""Dragon "","""")&amp;IF(REGEXMATCH($E274,""Human""),""Human "","""")&amp;I"&amp;"F(REGEXMATCH($E274,""Hunter""),""Hunter "","""")&amp;IF(REGEXMATCH($E274,""Animal""),""Animal "","""")&amp;IF(REGEXMATCH($E274,""Undead""),""Undead "","""")&amp;IF(REGEXMATCH($E274,""Plant""),""Plant "","""")&amp;IF(REGEXMATCH($E274,""Dinosaur""),""Dinosaur "","""")&amp;IF(R"&amp;"EGEXMATCH($E274,""Warrior""),""Warrior "","""")&amp;IF(REGEXMATCH($E274,""Spirit""),""Spirit "","""")&amp;IF(REGEXMATCH($E274,""Angel""),""Angel "","""")&amp;IF(REGEXMATCH($E274,""Demon""),""Demon "","""")&amp;IF(REGEXMATCH($E274,""Divine""),""Divine "","""")&amp;IF(REGEXMAT"&amp;"CH($E274,""Elemental""),""Elemental "","""")&amp;IF(REGEXMATCH($E274,""Nature""),""Nature "","""")&amp;IF(REGEXMATCH($E274,""Mortal""),""Mortal "","""")&amp;IF(REGEXMATCH($E274,""Void""),""Void "","""")&amp;IF(REGEXMATCH($E274,""Unearth|Ambush|Ritual|unearth|ambush|ritua"&amp;"l""),""Unearth "","""")&amp;IF(REGEXMATCH($E274,""Unleash|Crystallize|all realms|Crystalborn|crystallize""),""Ramp "","""")&amp;IF(REGEXMATCH($E274,""Demon""),""Demon "","""")&amp;IF(REGEXMATCH($E274,""bury|buries|Bury|Buries|Cleanse|puts a Unit|trail|Trail""),""Cont"&amp;"rol "","""")&amp;IF(REGEXMATCH($E274,""Bounce|Return|Copy|bounce|return|copy""),""Copy "","""")&amp;IF(REGEXMATCH($E274,""conquer|Conquer|leading in lanes|lead by""),""Aggro "","""")&amp;IF(REGEXMATCH($E274,""Ascend|ascend""),""Ascend "","""")&amp;IF(REGEXMATCH($E274,""B"&amp;"ury .+ Crystal|.*crystal.*bury""),""Empty-Crystal"","""")&amp;IF(REGEXMATCH($E274,""Move|move""),""Move"","""")"),"")</f>
        <v/>
      </c>
      <c r="G274" s="20" t="s">
        <v>1178</v>
      </c>
      <c r="H274" s="18">
        <v>0.0</v>
      </c>
      <c r="I274" s="18" t="s">
        <v>1169</v>
      </c>
      <c r="J274" s="18" t="s">
        <v>50</v>
      </c>
      <c r="L274" s="13" t="str">
        <f>IFERROR(__xludf.DUMMYFUNCTION("IF(REGEXMATCH($B274,L$1),$D274,"""")"),"")</f>
        <v/>
      </c>
      <c r="M274" s="13" t="str">
        <f>IFERROR(__xludf.DUMMYFUNCTION("IF(REGEXMATCH($B274,M$1),$D274,"""")"),"")</f>
        <v/>
      </c>
      <c r="N274" s="13" t="str">
        <f>IFERROR(__xludf.DUMMYFUNCTION("IF(REGEXMATCH($B274,N$1),$D274,"""")"),"Animal Demon")</f>
        <v>Animal Demon</v>
      </c>
      <c r="O274" s="13" t="str">
        <f>IFERROR(__xludf.DUMMYFUNCTION("IF(REGEXMATCH($B274,O$1),$D274,"""")"),"")</f>
        <v/>
      </c>
      <c r="P274" s="13" t="str">
        <f>IFERROR(__xludf.DUMMYFUNCTION("IF(REGEXMATCH($B274,P$1),$D274,"""")"),"")</f>
        <v/>
      </c>
      <c r="Q274" s="13">
        <f>IFERROR(__xludf.DUMMYFUNCTION("IF($A274="""","""",LEN(REGEXREPLACE($I274,"",\s?"","""")))"),2.0)</f>
        <v>2</v>
      </c>
      <c r="S274" s="13"/>
      <c r="T274" s="13"/>
      <c r="U274" s="13"/>
      <c r="V274" s="13"/>
      <c r="W274" s="13"/>
      <c r="X274" s="13"/>
      <c r="Y274" s="13"/>
      <c r="Z274" s="13"/>
      <c r="AA274" s="13"/>
      <c r="AB274" s="13"/>
    </row>
    <row r="275">
      <c r="A275" s="10" t="s">
        <v>1179</v>
      </c>
      <c r="B275" s="10" t="s">
        <v>12</v>
      </c>
      <c r="C275" s="11">
        <v>1.0</v>
      </c>
      <c r="D275" s="11" t="s">
        <v>519</v>
      </c>
      <c r="E275" s="30" t="s">
        <v>1180</v>
      </c>
      <c r="F275" s="10" t="str">
        <f>IFERROR(__xludf.DUMMYFUNCTION("IF(REGEXMATCH($E275,""Wizard""),""Wizard "","""")&amp;IF(REGEXMATCH($E275,""Construct""),""Construct "","""")&amp;IF(REGEXMATCH($E275,""Insect""),""Insect "","""")&amp;IF(REGEXMATCH($E275,""Dragon""),""Dragon "","""")&amp;IF(REGEXMATCH($E275,""Human""),""Human "","""")&amp;I"&amp;"F(REGEXMATCH($E275,""Hunter""),""Hunter "","""")&amp;IF(REGEXMATCH($E275,""Animal""),""Animal "","""")&amp;IF(REGEXMATCH($E275,""Undead""),""Undead "","""")&amp;IF(REGEXMATCH($E275,""Plant""),""Plant "","""")&amp;IF(REGEXMATCH($E275,""Dinosaur""),""Dinosaur "","""")&amp;IF(R"&amp;"EGEXMATCH($E275,""Warrior""),""Warrior "","""")&amp;IF(REGEXMATCH($E275,""Spirit""),""Spirit "","""")&amp;IF(REGEXMATCH($E275,""Angel""),""Angel "","""")&amp;IF(REGEXMATCH($E275,""Demon""),""Demon "","""")&amp;IF(REGEXMATCH($E275,""Divine""),""Divine "","""")&amp;IF(REGEXMAT"&amp;"CH($E275,""Elemental""),""Elemental "","""")&amp;IF(REGEXMATCH($E275,""Nature""),""Nature "","""")&amp;IF(REGEXMATCH($E275,""Mortal""),""Mortal "","""")&amp;IF(REGEXMATCH($E275,""Void""),""Void "","""")&amp;IF(REGEXMATCH($E275,""Unearth|Ambush|Ritual|unearth|ambush|ritua"&amp;"l""),""Unearth "","""")&amp;IF(REGEXMATCH($E275,""Unleash|Crystallize|all realms|Crystalborn|crystallize""),""Ramp "","""")&amp;IF(REGEXMATCH($E275,""Demon""),""Demon "","""")&amp;IF(REGEXMATCH($E275,""bury|buries|Bury|Buries|Cleanse|puts a Unit|trail|Trail""),""Cont"&amp;"rol "","""")&amp;IF(REGEXMATCH($E275,""Bounce|Return|Copy|bounce|return|copy""),""Copy "","""")&amp;IF(REGEXMATCH($E275,""conquer|Conquer|leading in lanes|lead by""),""Aggro "","""")&amp;IF(REGEXMATCH($E275,""Ascend|ascend""),""Ascend "","""")&amp;IF(REGEXMATCH($E275,""B"&amp;"ury .+ Crystal|.*crystal.*bury""),""Empty-Crystal"","""")&amp;IF(REGEXMATCH($E275,""Move|move""),""Move"","""")"),"Insect Move")</f>
        <v>Insect Move</v>
      </c>
      <c r="G275" s="20" t="s">
        <v>1181</v>
      </c>
      <c r="H275" s="11">
        <v>2.0</v>
      </c>
      <c r="I275" s="11" t="s">
        <v>949</v>
      </c>
      <c r="J275" s="11" t="s">
        <v>42</v>
      </c>
      <c r="L275" s="13" t="str">
        <f>IFERROR(__xludf.DUMMYFUNCTION("IF(REGEXMATCH($B275,L$1),$D275,"""")"),"")</f>
        <v/>
      </c>
      <c r="M275" s="13" t="str">
        <f>IFERROR(__xludf.DUMMYFUNCTION("IF(REGEXMATCH($B275,M$1),$D275,"""")"),"Insect")</f>
        <v>Insect</v>
      </c>
      <c r="N275" s="13" t="str">
        <f>IFERROR(__xludf.DUMMYFUNCTION("IF(REGEXMATCH($B275,N$1),$D275,"""")"),"")</f>
        <v/>
      </c>
      <c r="O275" s="13" t="str">
        <f>IFERROR(__xludf.DUMMYFUNCTION("IF(REGEXMATCH($B275,O$1),$D275,"""")"),"")</f>
        <v/>
      </c>
      <c r="P275" s="13" t="str">
        <f>IFERROR(__xludf.DUMMYFUNCTION("IF(REGEXMATCH($B275,P$1),$D275,"""")"),"")</f>
        <v/>
      </c>
      <c r="Q275" s="13">
        <f>IFERROR(__xludf.DUMMYFUNCTION("IF($A275="""","""",LEN(REGEXREPLACE($I275,"",\s?"","""")))"),2.0)</f>
        <v>2</v>
      </c>
      <c r="S275" s="13"/>
      <c r="T275" s="13"/>
      <c r="U275" s="13"/>
      <c r="V275" s="13"/>
      <c r="W275" s="13"/>
      <c r="X275" s="13"/>
      <c r="Y275" s="13"/>
      <c r="Z275" s="13"/>
      <c r="AA275" s="13"/>
      <c r="AB275" s="13"/>
    </row>
    <row r="276">
      <c r="A276" s="31" t="s">
        <v>1182</v>
      </c>
      <c r="B276" s="19" t="s">
        <v>12</v>
      </c>
      <c r="C276" s="18">
        <v>1.0</v>
      </c>
      <c r="D276" s="18" t="s">
        <v>991</v>
      </c>
      <c r="E276" s="19" t="s">
        <v>1183</v>
      </c>
      <c r="F276" s="10" t="str">
        <f>IFERROR(__xludf.DUMMYFUNCTION("IF(REGEXMATCH($E276,""Wizard""),""Wizard "","""")&amp;IF(REGEXMATCH($E276,""Construct""),""Construct "","""")&amp;IF(REGEXMATCH($E276,""Insect""),""Insect "","""")&amp;IF(REGEXMATCH($E276,""Dragon""),""Dragon "","""")&amp;IF(REGEXMATCH($E276,""Human""),""Human "","""")&amp;I"&amp;"F(REGEXMATCH($E276,""Hunter""),""Hunter "","""")&amp;IF(REGEXMATCH($E276,""Animal""),""Animal "","""")&amp;IF(REGEXMATCH($E276,""Undead""),""Undead "","""")&amp;IF(REGEXMATCH($E276,""Plant""),""Plant "","""")&amp;IF(REGEXMATCH($E276,""Dinosaur""),""Dinosaur "","""")&amp;IF(R"&amp;"EGEXMATCH($E276,""Warrior""),""Warrior "","""")&amp;IF(REGEXMATCH($E276,""Spirit""),""Spirit "","""")&amp;IF(REGEXMATCH($E276,""Angel""),""Angel "","""")&amp;IF(REGEXMATCH($E276,""Demon""),""Demon "","""")&amp;IF(REGEXMATCH($E276,""Divine""),""Divine "","""")&amp;IF(REGEXMAT"&amp;"CH($E276,""Elemental""),""Elemental "","""")&amp;IF(REGEXMATCH($E276,""Nature""),""Nature "","""")&amp;IF(REGEXMATCH($E276,""Mortal""),""Mortal "","""")&amp;IF(REGEXMATCH($E276,""Void""),""Void "","""")&amp;IF(REGEXMATCH($E276,""Unearth|Ambush|Ritual|unearth|ambush|ritua"&amp;"l""),""Unearth "","""")&amp;IF(REGEXMATCH($E276,""Unleash|Crystallize|all realms|Crystalborn|crystallize""),""Ramp "","""")&amp;IF(REGEXMATCH($E276,""Demon""),""Demon "","""")&amp;IF(REGEXMATCH($E276,""bury|buries|Bury|Buries|Cleanse|puts a Unit|trail|Trail""),""Cont"&amp;"rol "","""")&amp;IF(REGEXMATCH($E276,""Bounce|Return|Copy|bounce|return|copy""),""Copy "","""")&amp;IF(REGEXMATCH($E276,""conquer|Conquer|leading in lanes|lead by""),""Aggro "","""")&amp;IF(REGEXMATCH($E276,""Ascend|ascend""),""Ascend "","""")&amp;IF(REGEXMATCH($E276,""B"&amp;"ury .+ Crystal|.*crystal.*bury""),""Empty-Crystal"","""")&amp;IF(REGEXMATCH($E276,""Move|move""),""Move"","""")"),"Nature ")</f>
        <v>Nature </v>
      </c>
      <c r="G276" s="20" t="s">
        <v>1184</v>
      </c>
      <c r="H276" s="18">
        <v>4.0</v>
      </c>
      <c r="I276" s="18" t="s">
        <v>968</v>
      </c>
      <c r="J276" s="18" t="s">
        <v>50</v>
      </c>
      <c r="L276" s="13" t="str">
        <f>IFERROR(__xludf.DUMMYFUNCTION("IF(REGEXMATCH($B276,L$1),$D276,"""")"),"")</f>
        <v/>
      </c>
      <c r="M276" s="13" t="str">
        <f>IFERROR(__xludf.DUMMYFUNCTION("IF(REGEXMATCH($B276,M$1),$D276,"""")"),"Insect Plant")</f>
        <v>Insect Plant</v>
      </c>
      <c r="N276" s="13" t="str">
        <f>IFERROR(__xludf.DUMMYFUNCTION("IF(REGEXMATCH($B276,N$1),$D276,"""")"),"")</f>
        <v/>
      </c>
      <c r="O276" s="13" t="str">
        <f>IFERROR(__xludf.DUMMYFUNCTION("IF(REGEXMATCH($B276,O$1),$D276,"""")"),"")</f>
        <v/>
      </c>
      <c r="P276" s="13" t="str">
        <f>IFERROR(__xludf.DUMMYFUNCTION("IF(REGEXMATCH($B276,P$1),$D276,"""")"),"")</f>
        <v/>
      </c>
      <c r="Q276" s="13">
        <f>IFERROR(__xludf.DUMMYFUNCTION("IF($A276="""","""",LEN(REGEXREPLACE($I276,"",\s?"","""")))"),6.0)</f>
        <v>6</v>
      </c>
      <c r="S276" s="13"/>
      <c r="T276" s="13"/>
      <c r="U276" s="13"/>
      <c r="V276" s="13"/>
      <c r="W276" s="13"/>
      <c r="X276" s="13"/>
      <c r="Y276" s="13"/>
      <c r="Z276" s="13"/>
      <c r="AA276" s="13"/>
      <c r="AB276" s="13"/>
    </row>
    <row r="277">
      <c r="A277" s="10" t="s">
        <v>1185</v>
      </c>
      <c r="B277" s="10" t="s">
        <v>12</v>
      </c>
      <c r="C277" s="11">
        <v>1.0</v>
      </c>
      <c r="D277" s="11" t="s">
        <v>902</v>
      </c>
      <c r="E277" s="19" t="s">
        <v>1186</v>
      </c>
      <c r="F277" s="10" t="str">
        <f>IFERROR(__xludf.DUMMYFUNCTION("IF(REGEXMATCH($E277,""Wizard""),""Wizard "","""")&amp;IF(REGEXMATCH($E277,""Construct""),""Construct "","""")&amp;IF(REGEXMATCH($E277,""Insect""),""Insect "","""")&amp;IF(REGEXMATCH($E277,""Dragon""),""Dragon "","""")&amp;IF(REGEXMATCH($E277,""Human""),""Human "","""")&amp;I"&amp;"F(REGEXMATCH($E277,""Hunter""),""Hunter "","""")&amp;IF(REGEXMATCH($E277,""Animal""),""Animal "","""")&amp;IF(REGEXMATCH($E277,""Undead""),""Undead "","""")&amp;IF(REGEXMATCH($E277,""Plant""),""Plant "","""")&amp;IF(REGEXMATCH($E277,""Dinosaur""),""Dinosaur "","""")&amp;IF(R"&amp;"EGEXMATCH($E277,""Warrior""),""Warrior "","""")&amp;IF(REGEXMATCH($E277,""Spirit""),""Spirit "","""")&amp;IF(REGEXMATCH($E277,""Angel""),""Angel "","""")&amp;IF(REGEXMATCH($E277,""Demon""),""Demon "","""")&amp;IF(REGEXMATCH($E277,""Divine""),""Divine "","""")&amp;IF(REGEXMAT"&amp;"CH($E277,""Elemental""),""Elemental "","""")&amp;IF(REGEXMATCH($E277,""Nature""),""Nature "","""")&amp;IF(REGEXMATCH($E277,""Mortal""),""Mortal "","""")&amp;IF(REGEXMATCH($E277,""Void""),""Void "","""")&amp;IF(REGEXMATCH($E277,""Unearth|Ambush|Ritual|unearth|ambush|ritua"&amp;"l""),""Unearth "","""")&amp;IF(REGEXMATCH($E277,""Unleash|Crystallize|all realms|Crystalborn|crystallize""),""Ramp "","""")&amp;IF(REGEXMATCH($E277,""Demon""),""Demon "","""")&amp;IF(REGEXMATCH($E277,""bury|buries|Bury|Buries|Cleanse|puts a Unit|trail|Trail""),""Cont"&amp;"rol "","""")&amp;IF(REGEXMATCH($E277,""Bounce|Return|Copy|bounce|return|copy""),""Copy "","""")&amp;IF(REGEXMATCH($E277,""conquer|Conquer|leading in lanes|lead by""),""Aggro "","""")&amp;IF(REGEXMATCH($E277,""Ascend|ascend""),""Ascend "","""")&amp;IF(REGEXMATCH($E277,""B"&amp;"ury .+ Crystal|.*crystal.*bury""),""Empty-Crystal"","""")&amp;IF(REGEXMATCH($E277,""Move|move""),""Move"","""")"),"Plant ")</f>
        <v>Plant </v>
      </c>
      <c r="G277" s="12" t="s">
        <v>1187</v>
      </c>
      <c r="H277" s="11">
        <v>3.0</v>
      </c>
      <c r="I277" s="11" t="s">
        <v>1042</v>
      </c>
      <c r="J277" s="11" t="s">
        <v>42</v>
      </c>
      <c r="L277" s="13" t="str">
        <f>IFERROR(__xludf.DUMMYFUNCTION("IF(REGEXMATCH($B277,L$1),$D277,"""")"),"")</f>
        <v/>
      </c>
      <c r="M277" s="13" t="str">
        <f>IFERROR(__xludf.DUMMYFUNCTION("IF(REGEXMATCH($B277,M$1),$D277,"""")"),"Plant")</f>
        <v>Plant</v>
      </c>
      <c r="N277" s="13" t="str">
        <f>IFERROR(__xludf.DUMMYFUNCTION("IF(REGEXMATCH($B277,N$1),$D277,"""")"),"")</f>
        <v/>
      </c>
      <c r="O277" s="13" t="str">
        <f>IFERROR(__xludf.DUMMYFUNCTION("IF(REGEXMATCH($B277,O$1),$D277,"""")"),"")</f>
        <v/>
      </c>
      <c r="P277" s="13" t="str">
        <f>IFERROR(__xludf.DUMMYFUNCTION("IF(REGEXMATCH($B277,P$1),$D277,"""")"),"")</f>
        <v/>
      </c>
      <c r="Q277" s="13">
        <f>IFERROR(__xludf.DUMMYFUNCTION("IF($A277="""","""",LEN(REGEXREPLACE($I277,"",\s?"","""")))"),3.0)</f>
        <v>3</v>
      </c>
      <c r="S277" s="13"/>
      <c r="T277" s="13"/>
      <c r="U277" s="13"/>
      <c r="V277" s="13"/>
      <c r="W277" s="13"/>
      <c r="X277" s="13"/>
      <c r="Y277" s="13"/>
      <c r="Z277" s="13"/>
      <c r="AA277" s="13"/>
      <c r="AB277" s="13"/>
    </row>
    <row r="278" hidden="1">
      <c r="A278" s="19" t="s">
        <v>1188</v>
      </c>
      <c r="B278" s="84" t="s">
        <v>13</v>
      </c>
      <c r="C278" s="18">
        <v>2.0</v>
      </c>
      <c r="D278" s="18" t="s">
        <v>203</v>
      </c>
      <c r="E278" s="19" t="s">
        <v>1189</v>
      </c>
      <c r="F278" s="10" t="str">
        <f>IFERROR(__xludf.DUMMYFUNCTION("IF(REGEXMATCH($E278,""Wizard""),""Wizard "","""")&amp;IF(REGEXMATCH($E278,""Construct""),""Construct "","""")&amp;IF(REGEXMATCH($E278,""Insect""),""Insect "","""")&amp;IF(REGEXMATCH($E278,""Dragon""),""Dragon "","""")&amp;IF(REGEXMATCH($E278,""Human""),""Human "","""")&amp;I"&amp;"F(REGEXMATCH($E278,""Hunter""),""Hunter "","""")&amp;IF(REGEXMATCH($E278,""Animal""),""Animal "","""")&amp;IF(REGEXMATCH($E278,""Undead""),""Undead "","""")&amp;IF(REGEXMATCH($E278,""Plant""),""Plant "","""")&amp;IF(REGEXMATCH($E278,""Dinosaur""),""Dinosaur "","""")&amp;IF(R"&amp;"EGEXMATCH($E278,""Warrior""),""Warrior "","""")&amp;IF(REGEXMATCH($E278,""Spirit""),""Spirit "","""")&amp;IF(REGEXMATCH($E278,""Angel""),""Angel "","""")&amp;IF(REGEXMATCH($E278,""Demon""),""Demon "","""")&amp;IF(REGEXMATCH($E278,""Divine""),""Divine "","""")&amp;IF(REGEXMAT"&amp;"CH($E278,""Elemental""),""Elemental "","""")&amp;IF(REGEXMATCH($E278,""Nature""),""Nature "","""")&amp;IF(REGEXMATCH($E278,""Mortal""),""Mortal "","""")&amp;IF(REGEXMATCH($E278,""Void""),""Void "","""")&amp;IF(REGEXMATCH($E278,""Unearth|Ambush|Ritual|unearth|ambush|ritua"&amp;"l""),""Unearth "","""")&amp;IF(REGEXMATCH($E278,""Unleash|Crystallize|all realms|Crystalborn|crystallize""),""Ramp "","""")&amp;IF(REGEXMATCH($E278,""Demon""),""Demon "","""")&amp;IF(REGEXMATCH($E278,""bury|buries|Bury|Buries|Cleanse|puts a Unit|trail|Trail""),""Cont"&amp;"rol "","""")&amp;IF(REGEXMATCH($E278,""Bounce|Return|Copy|bounce|return|copy""),""Copy "","""")&amp;IF(REGEXMATCH($E278,""conquer|Conquer|leading in lanes|lead by""),""Aggro "","""")&amp;IF(REGEXMATCH($E278,""Ascend|ascend""),""Ascend "","""")&amp;IF(REGEXMATCH($E278,""B"&amp;"ury .+ Crystal|.*crystal.*bury""),""Empty-Crystal"","""")&amp;IF(REGEXMATCH($E278,""Move|move""),""Move"","""")"),"Ramp Control ")</f>
        <v>Ramp Control </v>
      </c>
      <c r="G278" s="20" t="s">
        <v>521</v>
      </c>
      <c r="H278" s="18">
        <v>4.0</v>
      </c>
      <c r="I278" s="18" t="s">
        <v>1190</v>
      </c>
      <c r="J278" s="11" t="s">
        <v>42</v>
      </c>
      <c r="L278" s="13" t="str">
        <f>IFERROR(__xludf.DUMMYFUNCTION("IF(REGEXMATCH($B278,L$1),$D278,"""")"),"")</f>
        <v/>
      </c>
      <c r="M278" s="13" t="str">
        <f>IFERROR(__xludf.DUMMYFUNCTION("IF(REGEXMATCH($B278,M$1),$D278,"""")"),"")</f>
        <v/>
      </c>
      <c r="N278" s="13" t="str">
        <f>IFERROR(__xludf.DUMMYFUNCTION("IF(REGEXMATCH($B278,N$1),$D278,"""")"),"Animal Undead")</f>
        <v>Animal Undead</v>
      </c>
      <c r="O278" s="13" t="str">
        <f>IFERROR(__xludf.DUMMYFUNCTION("IF(REGEXMATCH($B278,O$1),$D278,"""")"),"")</f>
        <v/>
      </c>
      <c r="P278" s="13" t="str">
        <f>IFERROR(__xludf.DUMMYFUNCTION("IF(REGEXMATCH($B278,P$1),$D278,"""")"),"")</f>
        <v/>
      </c>
      <c r="Q278" s="13">
        <f>IFERROR(__xludf.DUMMYFUNCTION("IF($A278="""","""",LEN(REGEXREPLACE($I278,"",\s?"","""")))"),5.0)</f>
        <v>5</v>
      </c>
      <c r="S278" s="13"/>
      <c r="T278" s="13"/>
      <c r="U278" s="13"/>
      <c r="V278" s="13"/>
      <c r="W278" s="13"/>
      <c r="X278" s="13"/>
      <c r="Y278" s="13"/>
      <c r="Z278" s="13"/>
      <c r="AA278" s="13"/>
      <c r="AB278" s="13"/>
    </row>
    <row r="279">
      <c r="A279" s="10" t="s">
        <v>1191</v>
      </c>
      <c r="B279" s="10" t="s">
        <v>12</v>
      </c>
      <c r="C279" s="11">
        <v>1.0</v>
      </c>
      <c r="D279" s="11" t="s">
        <v>902</v>
      </c>
      <c r="E279" s="19" t="s">
        <v>1192</v>
      </c>
      <c r="F279" s="10" t="str">
        <f>IFERROR(__xludf.DUMMYFUNCTION("IF(REGEXMATCH($E279,""Wizard""),""Wizard "","""")&amp;IF(REGEXMATCH($E279,""Construct""),""Construct "","""")&amp;IF(REGEXMATCH($E279,""Insect""),""Insect "","""")&amp;IF(REGEXMATCH($E279,""Dragon""),""Dragon "","""")&amp;IF(REGEXMATCH($E279,""Human""),""Human "","""")&amp;I"&amp;"F(REGEXMATCH($E279,""Hunter""),""Hunter "","""")&amp;IF(REGEXMATCH($E279,""Animal""),""Animal "","""")&amp;IF(REGEXMATCH($E279,""Undead""),""Undead "","""")&amp;IF(REGEXMATCH($E279,""Plant""),""Plant "","""")&amp;IF(REGEXMATCH($E279,""Dinosaur""),""Dinosaur "","""")&amp;IF(R"&amp;"EGEXMATCH($E279,""Warrior""),""Warrior "","""")&amp;IF(REGEXMATCH($E279,""Spirit""),""Spirit "","""")&amp;IF(REGEXMATCH($E279,""Angel""),""Angel "","""")&amp;IF(REGEXMATCH($E279,""Demon""),""Demon "","""")&amp;IF(REGEXMATCH($E279,""Divine""),""Divine "","""")&amp;IF(REGEXMAT"&amp;"CH($E279,""Elemental""),""Elemental "","""")&amp;IF(REGEXMATCH($E279,""Nature""),""Nature "","""")&amp;IF(REGEXMATCH($E279,""Mortal""),""Mortal "","""")&amp;IF(REGEXMATCH($E279,""Void""),""Void "","""")&amp;IF(REGEXMATCH($E279,""Unearth|Ambush|Ritual|unearth|ambush|ritua"&amp;"l""),""Unearth "","""")&amp;IF(REGEXMATCH($E279,""Unleash|Crystallize|all realms|Crystalborn|crystallize""),""Ramp "","""")&amp;IF(REGEXMATCH($E279,""Demon""),""Demon "","""")&amp;IF(REGEXMATCH($E279,""bury|buries|Bury|Buries|Cleanse|puts a Unit|trail|Trail""),""Cont"&amp;"rol "","""")&amp;IF(REGEXMATCH($E279,""Bounce|Return|Copy|bounce|return|copy""),""Copy "","""")&amp;IF(REGEXMATCH($E279,""conquer|Conquer|leading in lanes|lead by""),""Aggro "","""")&amp;IF(REGEXMATCH($E279,""Ascend|ascend""),""Ascend "","""")&amp;IF(REGEXMATCH($E279,""B"&amp;"ury .+ Crystal|.*crystal.*bury""),""Empty-Crystal"","""")&amp;IF(REGEXMATCH($E279,""Move|move""),""Move"","""")"),"Plant ")</f>
        <v>Plant </v>
      </c>
      <c r="G279" s="20" t="s">
        <v>1193</v>
      </c>
      <c r="H279" s="11">
        <v>2.0</v>
      </c>
      <c r="I279" s="11" t="s">
        <v>949</v>
      </c>
      <c r="J279" s="11" t="s">
        <v>42</v>
      </c>
      <c r="L279" s="13" t="str">
        <f>IFERROR(__xludf.DUMMYFUNCTION("IF(REGEXMATCH($B279,L$1),$D279,"""")"),"")</f>
        <v/>
      </c>
      <c r="M279" s="13" t="str">
        <f>IFERROR(__xludf.DUMMYFUNCTION("IF(REGEXMATCH($B279,M$1),$D279,"""")"),"Plant")</f>
        <v>Plant</v>
      </c>
      <c r="N279" s="13" t="str">
        <f>IFERROR(__xludf.DUMMYFUNCTION("IF(REGEXMATCH($B279,N$1),$D279,"""")"),"")</f>
        <v/>
      </c>
      <c r="O279" s="13" t="str">
        <f>IFERROR(__xludf.DUMMYFUNCTION("IF(REGEXMATCH($B279,O$1),$D279,"""")"),"")</f>
        <v/>
      </c>
      <c r="P279" s="13" t="str">
        <f>IFERROR(__xludf.DUMMYFUNCTION("IF(REGEXMATCH($B279,P$1),$D279,"""")"),"")</f>
        <v/>
      </c>
      <c r="Q279" s="13">
        <f>IFERROR(__xludf.DUMMYFUNCTION("IF($A279="""","""",LEN(REGEXREPLACE($I279,"",\s?"","""")))"),2.0)</f>
        <v>2</v>
      </c>
      <c r="S279" s="13"/>
      <c r="T279" s="13"/>
      <c r="U279" s="13"/>
      <c r="V279" s="13"/>
      <c r="W279" s="13"/>
      <c r="X279" s="13"/>
      <c r="Y279" s="13"/>
      <c r="Z279" s="13"/>
      <c r="AA279" s="13"/>
      <c r="AB279" s="13"/>
    </row>
    <row r="280" hidden="1">
      <c r="A280" s="10" t="s">
        <v>1194</v>
      </c>
      <c r="B280" s="83" t="s">
        <v>13</v>
      </c>
      <c r="C280" s="11">
        <v>2.0</v>
      </c>
      <c r="D280" s="11" t="s">
        <v>1162</v>
      </c>
      <c r="E280" s="10" t="s">
        <v>1195</v>
      </c>
      <c r="F280" s="10" t="str">
        <f>IFERROR(__xludf.DUMMYFUNCTION("IF(REGEXMATCH($E280,""Wizard""),""Wizard "","""")&amp;IF(REGEXMATCH($E280,""Construct""),""Construct "","""")&amp;IF(REGEXMATCH($E280,""Insect""),""Insect "","""")&amp;IF(REGEXMATCH($E280,""Dragon""),""Dragon "","""")&amp;IF(REGEXMATCH($E280,""Human""),""Human "","""")&amp;I"&amp;"F(REGEXMATCH($E280,""Hunter""),""Hunter "","""")&amp;IF(REGEXMATCH($E280,""Animal""),""Animal "","""")&amp;IF(REGEXMATCH($E280,""Undead""),""Undead "","""")&amp;IF(REGEXMATCH($E280,""Plant""),""Plant "","""")&amp;IF(REGEXMATCH($E280,""Dinosaur""),""Dinosaur "","""")&amp;IF(R"&amp;"EGEXMATCH($E280,""Warrior""),""Warrior "","""")&amp;IF(REGEXMATCH($E280,""Spirit""),""Spirit "","""")&amp;IF(REGEXMATCH($E280,""Angel""),""Angel "","""")&amp;IF(REGEXMATCH($E280,""Demon""),""Demon "","""")&amp;IF(REGEXMATCH($E280,""Divine""),""Divine "","""")&amp;IF(REGEXMAT"&amp;"CH($E280,""Elemental""),""Elemental "","""")&amp;IF(REGEXMATCH($E280,""Nature""),""Nature "","""")&amp;IF(REGEXMATCH($E280,""Mortal""),""Mortal "","""")&amp;IF(REGEXMATCH($E280,""Void""),""Void "","""")&amp;IF(REGEXMATCH($E280,""Unearth|Ambush|Ritual|unearth|ambush|ritua"&amp;"l""),""Unearth "","""")&amp;IF(REGEXMATCH($E280,""Unleash|Crystallize|all realms|Crystalborn|crystallize""),""Ramp "","""")&amp;IF(REGEXMATCH($E280,""Demon""),""Demon "","""")&amp;IF(REGEXMATCH($E280,""bury|buries|Bury|Buries|Cleanse|puts a Unit|trail|Trail""),""Cont"&amp;"rol "","""")&amp;IF(REGEXMATCH($E280,""Bounce|Return|Copy|bounce|return|copy""),""Copy "","""")&amp;IF(REGEXMATCH($E280,""conquer|Conquer|leading in lanes|lead by""),""Aggro "","""")&amp;IF(REGEXMATCH($E280,""Ascend|ascend""),""Ascend "","""")&amp;IF(REGEXMATCH($E280,""B"&amp;"ury .+ Crystal|.*crystal.*bury""),""Empty-Crystal"","""")&amp;IF(REGEXMATCH($E280,""Move|move""),""Move"","""")"),"")</f>
        <v/>
      </c>
      <c r="G280" s="12" t="s">
        <v>521</v>
      </c>
      <c r="H280" s="11">
        <v>1.0</v>
      </c>
      <c r="I280" s="11" t="s">
        <v>1196</v>
      </c>
      <c r="J280" s="11" t="s">
        <v>33</v>
      </c>
      <c r="L280" s="13" t="str">
        <f>IFERROR(__xludf.DUMMYFUNCTION("IF(REGEXMATCH($B280,L$1),$D280,"""")"),"")</f>
        <v/>
      </c>
      <c r="M280" s="13" t="str">
        <f>IFERROR(__xludf.DUMMYFUNCTION("IF(REGEXMATCH($B280,M$1),$D280,"""")"),"")</f>
        <v/>
      </c>
      <c r="N280" s="13" t="str">
        <f>IFERROR(__xludf.DUMMYFUNCTION("IF(REGEXMATCH($B280,N$1),$D280,"""")"),"Demon")</f>
        <v>Demon</v>
      </c>
      <c r="O280" s="13" t="str">
        <f>IFERROR(__xludf.DUMMYFUNCTION("IF(REGEXMATCH($B280,O$1),$D280,"""")"),"")</f>
        <v/>
      </c>
      <c r="P280" s="13" t="str">
        <f>IFERROR(__xludf.DUMMYFUNCTION("IF(REGEXMATCH($B280,P$1),$D280,"""")"),"")</f>
        <v/>
      </c>
      <c r="Q280" s="13">
        <f>IFERROR(__xludf.DUMMYFUNCTION("IF($A280="""","""",LEN(REGEXREPLACE($I280,"",\s?"","""")))"),6.0)</f>
        <v>6</v>
      </c>
      <c r="S280" s="13"/>
      <c r="T280" s="13"/>
      <c r="U280" s="13"/>
      <c r="V280" s="13"/>
      <c r="W280" s="13"/>
      <c r="X280" s="13"/>
      <c r="Y280" s="13"/>
      <c r="Z280" s="13"/>
      <c r="AA280" s="13"/>
      <c r="AB280" s="13"/>
    </row>
    <row r="281">
      <c r="A281" s="19" t="s">
        <v>1197</v>
      </c>
      <c r="B281" s="19" t="s">
        <v>12</v>
      </c>
      <c r="C281" s="18">
        <v>1.0</v>
      </c>
      <c r="D281" s="18" t="s">
        <v>1198</v>
      </c>
      <c r="E281" s="19" t="s">
        <v>1199</v>
      </c>
      <c r="F281" s="10" t="str">
        <f>IFERROR(__xludf.DUMMYFUNCTION("IF(REGEXMATCH($E281,""Wizard""),""Wizard "","""")&amp;IF(REGEXMATCH($E281,""Construct""),""Construct "","""")&amp;IF(REGEXMATCH($E281,""Insect""),""Insect "","""")&amp;IF(REGEXMATCH($E281,""Dragon""),""Dragon "","""")&amp;IF(REGEXMATCH($E281,""Human""),""Human "","""")&amp;I"&amp;"F(REGEXMATCH($E281,""Hunter""),""Hunter "","""")&amp;IF(REGEXMATCH($E281,""Animal""),""Animal "","""")&amp;IF(REGEXMATCH($E281,""Undead""),""Undead "","""")&amp;IF(REGEXMATCH($E281,""Plant""),""Plant "","""")&amp;IF(REGEXMATCH($E281,""Dinosaur""),""Dinosaur "","""")&amp;IF(R"&amp;"EGEXMATCH($E281,""Warrior""),""Warrior "","""")&amp;IF(REGEXMATCH($E281,""Spirit""),""Spirit "","""")&amp;IF(REGEXMATCH($E281,""Angel""),""Angel "","""")&amp;IF(REGEXMATCH($E281,""Demon""),""Demon "","""")&amp;IF(REGEXMATCH($E281,""Divine""),""Divine "","""")&amp;IF(REGEXMAT"&amp;"CH($E281,""Elemental""),""Elemental "","""")&amp;IF(REGEXMATCH($E281,""Nature""),""Nature "","""")&amp;IF(REGEXMATCH($E281,""Mortal""),""Mortal "","""")&amp;IF(REGEXMATCH($E281,""Void""),""Void "","""")&amp;IF(REGEXMATCH($E281,""Unearth|Ambush|Ritual|unearth|ambush|ritua"&amp;"l""),""Unearth "","""")&amp;IF(REGEXMATCH($E281,""Unleash|Crystallize|all realms|Crystalborn|crystallize""),""Ramp "","""")&amp;IF(REGEXMATCH($E281,""Demon""),""Demon "","""")&amp;IF(REGEXMATCH($E281,""bury|buries|Bury|Buries|Cleanse|puts a Unit|trail|Trail""),""Cont"&amp;"rol "","""")&amp;IF(REGEXMATCH($E281,""Bounce|Return|Copy|bounce|return|copy""),""Copy "","""")&amp;IF(REGEXMATCH($E281,""conquer|Conquer|leading in lanes|lead by""),""Aggro "","""")&amp;IF(REGEXMATCH($E281,""Ascend|ascend""),""Ascend "","""")&amp;IF(REGEXMATCH($E281,""B"&amp;"ury .+ Crystal|.*crystal.*bury""),""Empty-Crystal"","""")&amp;IF(REGEXMATCH($E281,""Move|move""),""Move"","""")"),"Hunter Unearth ")</f>
        <v>Hunter Unearth </v>
      </c>
      <c r="G281" s="20" t="s">
        <v>1200</v>
      </c>
      <c r="H281" s="18">
        <v>3.0</v>
      </c>
      <c r="I281" s="18" t="s">
        <v>960</v>
      </c>
      <c r="J281" s="18" t="s">
        <v>42</v>
      </c>
      <c r="L281" s="13" t="str">
        <f>IFERROR(__xludf.DUMMYFUNCTION("IF(REGEXMATCH($B281,L$1),$D281,"""")"),"")</f>
        <v/>
      </c>
      <c r="M281" s="13" t="str">
        <f>IFERROR(__xludf.DUMMYFUNCTION("IF(REGEXMATCH($B281,M$1),$D281,"""")"),"Plant Hunter")</f>
        <v>Plant Hunter</v>
      </c>
      <c r="N281" s="13" t="str">
        <f>IFERROR(__xludf.DUMMYFUNCTION("IF(REGEXMATCH($B281,N$1),$D281,"""")"),"")</f>
        <v/>
      </c>
      <c r="O281" s="13" t="str">
        <f>IFERROR(__xludf.DUMMYFUNCTION("IF(REGEXMATCH($B281,O$1),$D281,"""")"),"")</f>
        <v/>
      </c>
      <c r="P281" s="13" t="str">
        <f>IFERROR(__xludf.DUMMYFUNCTION("IF(REGEXMATCH($B281,P$1),$D281,"""")"),"")</f>
        <v/>
      </c>
      <c r="Q281" s="13">
        <f>IFERROR(__xludf.DUMMYFUNCTION("IF($A281="""","""",LEN(REGEXREPLACE($I281,"",\s?"","""")))"),3.0)</f>
        <v>3</v>
      </c>
      <c r="S281" s="13"/>
      <c r="T281" s="13"/>
      <c r="U281" s="13"/>
      <c r="V281" s="13"/>
      <c r="W281" s="13"/>
      <c r="X281" s="13"/>
      <c r="Y281" s="13"/>
      <c r="Z281" s="13"/>
      <c r="AA281" s="13"/>
      <c r="AB281" s="13"/>
    </row>
    <row r="282">
      <c r="A282" s="10" t="s">
        <v>1201</v>
      </c>
      <c r="B282" s="10" t="s">
        <v>12</v>
      </c>
      <c r="C282" s="11">
        <v>1.0</v>
      </c>
      <c r="D282" s="11" t="s">
        <v>1202</v>
      </c>
      <c r="F282" s="10" t="str">
        <f>IFERROR(__xludf.DUMMYFUNCTION("IF(REGEXMATCH($E282,""Wizard""),""Wizard "","""")&amp;IF(REGEXMATCH($E282,""Construct""),""Construct "","""")&amp;IF(REGEXMATCH($E282,""Insect""),""Insect "","""")&amp;IF(REGEXMATCH($E282,""Dragon""),""Dragon "","""")&amp;IF(REGEXMATCH($E282,""Human""),""Human "","""")&amp;I"&amp;"F(REGEXMATCH($E282,""Hunter""),""Hunter "","""")&amp;IF(REGEXMATCH($E282,""Animal""),""Animal "","""")&amp;IF(REGEXMATCH($E282,""Undead""),""Undead "","""")&amp;IF(REGEXMATCH($E282,""Plant""),""Plant "","""")&amp;IF(REGEXMATCH($E282,""Dinosaur""),""Dinosaur "","""")&amp;IF(R"&amp;"EGEXMATCH($E282,""Warrior""),""Warrior "","""")&amp;IF(REGEXMATCH($E282,""Spirit""),""Spirit "","""")&amp;IF(REGEXMATCH($E282,""Angel""),""Angel "","""")&amp;IF(REGEXMATCH($E282,""Demon""),""Demon "","""")&amp;IF(REGEXMATCH($E282,""Divine""),""Divine "","""")&amp;IF(REGEXMAT"&amp;"CH($E282,""Elemental""),""Elemental "","""")&amp;IF(REGEXMATCH($E282,""Nature""),""Nature "","""")&amp;IF(REGEXMATCH($E282,""Mortal""),""Mortal "","""")&amp;IF(REGEXMATCH($E282,""Void""),""Void "","""")&amp;IF(REGEXMATCH($E282,""Unearth|Ambush|Ritual|unearth|ambush|ritua"&amp;"l""),""Unearth "","""")&amp;IF(REGEXMATCH($E282,""Unleash|Crystallize|all realms|Crystalborn|crystallize""),""Ramp "","""")&amp;IF(REGEXMATCH($E282,""Demon""),""Demon "","""")&amp;IF(REGEXMATCH($E282,""bury|buries|Bury|Buries|Cleanse|puts a Unit|trail|Trail""),""Cont"&amp;"rol "","""")&amp;IF(REGEXMATCH($E282,""Bounce|Return|Copy|bounce|return|copy""),""Copy "","""")&amp;IF(REGEXMATCH($E282,""conquer|Conquer|leading in lanes|lead by""),""Aggro "","""")&amp;IF(REGEXMATCH($E282,""Ascend|ascend""),""Ascend "","""")&amp;IF(REGEXMATCH($E282,""B"&amp;"ury .+ Crystal|.*crystal.*bury""),""Empty-Crystal"","""")&amp;IF(REGEXMATCH($E282,""Move|move""),""Move"","""")"),"")</f>
        <v/>
      </c>
      <c r="G282" s="12" t="s">
        <v>1203</v>
      </c>
      <c r="H282" s="11">
        <v>4.0</v>
      </c>
      <c r="I282" s="11" t="s">
        <v>1042</v>
      </c>
      <c r="J282" s="11" t="s">
        <v>42</v>
      </c>
      <c r="L282" s="13" t="str">
        <f>IFERROR(__xludf.DUMMYFUNCTION("IF(REGEXMATCH($B282,L$1),$D282,"""")"),"")</f>
        <v/>
      </c>
      <c r="M282" s="13" t="str">
        <f>IFERROR(__xludf.DUMMYFUNCTION("IF(REGEXMATCH($B282,M$1),$D282,"""")"),"Plant Spirit")</f>
        <v>Plant Spirit</v>
      </c>
      <c r="N282" s="13" t="str">
        <f>IFERROR(__xludf.DUMMYFUNCTION("IF(REGEXMATCH($B282,N$1),$D282,"""")"),"")</f>
        <v/>
      </c>
      <c r="O282" s="13" t="str">
        <f>IFERROR(__xludf.DUMMYFUNCTION("IF(REGEXMATCH($B282,O$1),$D282,"""")"),"")</f>
        <v/>
      </c>
      <c r="P282" s="13" t="str">
        <f>IFERROR(__xludf.DUMMYFUNCTION("IF(REGEXMATCH($B282,P$1),$D282,"""")"),"")</f>
        <v/>
      </c>
      <c r="Q282" s="13">
        <f>IFERROR(__xludf.DUMMYFUNCTION("IF($A282="""","""",LEN(REGEXREPLACE($I282,"",\s?"","""")))"),3.0)</f>
        <v>3</v>
      </c>
      <c r="S282" s="13"/>
      <c r="T282" s="13"/>
      <c r="U282" s="13"/>
      <c r="V282" s="13"/>
      <c r="W282" s="13"/>
      <c r="X282" s="13"/>
      <c r="Y282" s="13"/>
      <c r="Z282" s="13"/>
      <c r="AA282" s="13"/>
      <c r="AB282" s="13"/>
    </row>
    <row r="283">
      <c r="A283" s="10" t="s">
        <v>1204</v>
      </c>
      <c r="B283" s="10" t="s">
        <v>12</v>
      </c>
      <c r="C283" s="11">
        <v>1.0</v>
      </c>
      <c r="D283" s="11" t="s">
        <v>1202</v>
      </c>
      <c r="E283" s="10" t="s">
        <v>1205</v>
      </c>
      <c r="F283" s="10" t="str">
        <f>IFERROR(__xludf.DUMMYFUNCTION("IF(REGEXMATCH($E283,""Wizard""),""Wizard "","""")&amp;IF(REGEXMATCH($E283,""Construct""),""Construct "","""")&amp;IF(REGEXMATCH($E283,""Insect""),""Insect "","""")&amp;IF(REGEXMATCH($E283,""Dragon""),""Dragon "","""")&amp;IF(REGEXMATCH($E283,""Human""),""Human "","""")&amp;I"&amp;"F(REGEXMATCH($E283,""Hunter""),""Hunter "","""")&amp;IF(REGEXMATCH($E283,""Animal""),""Animal "","""")&amp;IF(REGEXMATCH($E283,""Undead""),""Undead "","""")&amp;IF(REGEXMATCH($E283,""Plant""),""Plant "","""")&amp;IF(REGEXMATCH($E283,""Dinosaur""),""Dinosaur "","""")&amp;IF(R"&amp;"EGEXMATCH($E283,""Warrior""),""Warrior "","""")&amp;IF(REGEXMATCH($E283,""Spirit""),""Spirit "","""")&amp;IF(REGEXMATCH($E283,""Angel""),""Angel "","""")&amp;IF(REGEXMATCH($E283,""Demon""),""Demon "","""")&amp;IF(REGEXMATCH($E283,""Divine""),""Divine "","""")&amp;IF(REGEXMAT"&amp;"CH($E283,""Elemental""),""Elemental "","""")&amp;IF(REGEXMATCH($E283,""Nature""),""Nature "","""")&amp;IF(REGEXMATCH($E283,""Mortal""),""Mortal "","""")&amp;IF(REGEXMATCH($E283,""Void""),""Void "","""")&amp;IF(REGEXMATCH($E283,""Unearth|Ambush|Ritual|unearth|ambush|ritua"&amp;"l""),""Unearth "","""")&amp;IF(REGEXMATCH($E283,""Unleash|Crystallize|all realms|Crystalborn|crystallize""),""Ramp "","""")&amp;IF(REGEXMATCH($E283,""Demon""),""Demon "","""")&amp;IF(REGEXMATCH($E283,""bury|buries|Bury|Buries|Cleanse|puts a Unit|trail|Trail""),""Cont"&amp;"rol "","""")&amp;IF(REGEXMATCH($E283,""Bounce|Return|Copy|bounce|return|copy""),""Copy "","""")&amp;IF(REGEXMATCH($E283,""conquer|Conquer|leading in lanes|lead by""),""Aggro "","""")&amp;IF(REGEXMATCH($E283,""Ascend|ascend""),""Ascend "","""")&amp;IF(REGEXMATCH($E283,""B"&amp;"ury .+ Crystal|.*crystal.*bury""),""Empty-Crystal"","""")&amp;IF(REGEXMATCH($E283,""Move|move""),""Move"","""")"),"Nature ")</f>
        <v>Nature </v>
      </c>
      <c r="G283" s="12" t="s">
        <v>1206</v>
      </c>
      <c r="H283" s="11">
        <v>1.0</v>
      </c>
      <c r="I283" s="11" t="s">
        <v>949</v>
      </c>
      <c r="J283" s="11" t="s">
        <v>42</v>
      </c>
      <c r="L283" s="13" t="str">
        <f>IFERROR(__xludf.DUMMYFUNCTION("IF(REGEXMATCH($B283,L$1),$D283,"""")"),"")</f>
        <v/>
      </c>
      <c r="M283" s="13" t="str">
        <f>IFERROR(__xludf.DUMMYFUNCTION("IF(REGEXMATCH($B283,M$1),$D283,"""")"),"Plant Spirit")</f>
        <v>Plant Spirit</v>
      </c>
      <c r="N283" s="13" t="str">
        <f>IFERROR(__xludf.DUMMYFUNCTION("IF(REGEXMATCH($B283,N$1),$D283,"""")"),"")</f>
        <v/>
      </c>
      <c r="O283" s="13" t="str">
        <f>IFERROR(__xludf.DUMMYFUNCTION("IF(REGEXMATCH($B283,O$1),$D283,"""")"),"")</f>
        <v/>
      </c>
      <c r="P283" s="13" t="str">
        <f>IFERROR(__xludf.DUMMYFUNCTION("IF(REGEXMATCH($B283,P$1),$D283,"""")"),"")</f>
        <v/>
      </c>
      <c r="Q283" s="13">
        <f>IFERROR(__xludf.DUMMYFUNCTION("IF($A283="""","""",LEN(REGEXREPLACE($I283,"",\s?"","""")))"),2.0)</f>
        <v>2</v>
      </c>
      <c r="S283" s="13"/>
      <c r="T283" s="13"/>
      <c r="U283" s="13"/>
      <c r="V283" s="13"/>
      <c r="W283" s="13"/>
      <c r="X283" s="13"/>
      <c r="Y283" s="13"/>
      <c r="Z283" s="13"/>
      <c r="AA283" s="13"/>
      <c r="AB283" s="13"/>
    </row>
    <row r="284" hidden="1">
      <c r="A284" s="10" t="s">
        <v>1207</v>
      </c>
      <c r="B284" s="83" t="s">
        <v>13</v>
      </c>
      <c r="C284" s="11">
        <v>2.0</v>
      </c>
      <c r="D284" s="11" t="s">
        <v>322</v>
      </c>
      <c r="E284" s="10" t="s">
        <v>1208</v>
      </c>
      <c r="F284" s="10" t="str">
        <f>IFERROR(__xludf.DUMMYFUNCTION("IF(REGEXMATCH($E284,""Wizard""),""Wizard "","""")&amp;IF(REGEXMATCH($E284,""Construct""),""Construct "","""")&amp;IF(REGEXMATCH($E284,""Insect""),""Insect "","""")&amp;IF(REGEXMATCH($E284,""Dragon""),""Dragon "","""")&amp;IF(REGEXMATCH($E284,""Human""),""Human "","""")&amp;I"&amp;"F(REGEXMATCH($E284,""Hunter""),""Hunter "","""")&amp;IF(REGEXMATCH($E284,""Animal""),""Animal "","""")&amp;IF(REGEXMATCH($E284,""Undead""),""Undead "","""")&amp;IF(REGEXMATCH($E284,""Plant""),""Plant "","""")&amp;IF(REGEXMATCH($E284,""Dinosaur""),""Dinosaur "","""")&amp;IF(R"&amp;"EGEXMATCH($E284,""Warrior""),""Warrior "","""")&amp;IF(REGEXMATCH($E284,""Spirit""),""Spirit "","""")&amp;IF(REGEXMATCH($E284,""Angel""),""Angel "","""")&amp;IF(REGEXMATCH($E284,""Demon""),""Demon "","""")&amp;IF(REGEXMATCH($E284,""Divine""),""Divine "","""")&amp;IF(REGEXMAT"&amp;"CH($E284,""Elemental""),""Elemental "","""")&amp;IF(REGEXMATCH($E284,""Nature""),""Nature "","""")&amp;IF(REGEXMATCH($E284,""Mortal""),""Mortal "","""")&amp;IF(REGEXMATCH($E284,""Void""),""Void "","""")&amp;IF(REGEXMATCH($E284,""Unearth|Ambush|Ritual|unearth|ambush|ritua"&amp;"l""),""Unearth "","""")&amp;IF(REGEXMATCH($E284,""Unleash|Crystallize|all realms|Crystalborn|crystallize""),""Ramp "","""")&amp;IF(REGEXMATCH($E284,""Demon""),""Demon "","""")&amp;IF(REGEXMATCH($E284,""bury|buries|Bury|Buries|Cleanse|puts a Unit|trail|Trail""),""Cont"&amp;"rol "","""")&amp;IF(REGEXMATCH($E284,""Bounce|Return|Copy|bounce|return|copy""),""Copy "","""")&amp;IF(REGEXMATCH($E284,""conquer|Conquer|leading in lanes|lead by""),""Aggro "","""")&amp;IF(REGEXMATCH($E284,""Ascend|ascend""),""Ascend "","""")&amp;IF(REGEXMATCH($E284,""B"&amp;"ury .+ Crystal|.*crystal.*bury""),""Empty-Crystal"","""")&amp;IF(REGEXMATCH($E284,""Move|move""),""Move"","""")"),"Undead Control ")</f>
        <v>Undead Control </v>
      </c>
      <c r="G284" s="12" t="s">
        <v>1175</v>
      </c>
      <c r="H284" s="11">
        <v>5.0</v>
      </c>
      <c r="I284" s="11" t="s">
        <v>1140</v>
      </c>
      <c r="J284" s="11" t="s">
        <v>50</v>
      </c>
      <c r="L284" s="13" t="str">
        <f>IFERROR(__xludf.DUMMYFUNCTION("IF(REGEXMATCH($B284,L$1),$D284,"""")"),"")</f>
        <v/>
      </c>
      <c r="M284" s="13" t="str">
        <f>IFERROR(__xludf.DUMMYFUNCTION("IF(REGEXMATCH($B284,M$1),$D284,"""")"),"")</f>
        <v/>
      </c>
      <c r="N284" s="13" t="str">
        <f>IFERROR(__xludf.DUMMYFUNCTION("IF(REGEXMATCH($B284,N$1),$D284,"""")"),"Undead Warrior")</f>
        <v>Undead Warrior</v>
      </c>
      <c r="O284" s="13" t="str">
        <f>IFERROR(__xludf.DUMMYFUNCTION("IF(REGEXMATCH($B284,O$1),$D284,"""")"),"")</f>
        <v/>
      </c>
      <c r="P284" s="13" t="str">
        <f>IFERROR(__xludf.DUMMYFUNCTION("IF(REGEXMATCH($B284,P$1),$D284,"""")"),"")</f>
        <v/>
      </c>
      <c r="Q284" s="13">
        <f>IFERROR(__xludf.DUMMYFUNCTION("IF($A284="""","""",LEN(REGEXREPLACE($I284,"",\s?"","""")))"),5.0)</f>
        <v>5</v>
      </c>
      <c r="S284" s="13"/>
      <c r="T284" s="13"/>
      <c r="U284" s="13"/>
      <c r="V284" s="13"/>
      <c r="W284" s="13"/>
      <c r="X284" s="13"/>
      <c r="Y284" s="13"/>
      <c r="Z284" s="13"/>
      <c r="AA284" s="13"/>
      <c r="AB284" s="13"/>
    </row>
    <row r="285">
      <c r="A285" s="10" t="s">
        <v>1209</v>
      </c>
      <c r="B285" s="10" t="s">
        <v>1119</v>
      </c>
      <c r="C285" s="11">
        <v>1.0</v>
      </c>
      <c r="D285" s="11" t="s">
        <v>707</v>
      </c>
      <c r="E285" s="10" t="s">
        <v>1210</v>
      </c>
      <c r="F285" s="10" t="str">
        <f>IFERROR(__xludf.DUMMYFUNCTION("IF(REGEXMATCH($E285,""Wizard""),""Wizard "","""")&amp;IF(REGEXMATCH($E285,""Construct""),""Construct "","""")&amp;IF(REGEXMATCH($E285,""Insect""),""Insect "","""")&amp;IF(REGEXMATCH($E285,""Dragon""),""Dragon "","""")&amp;IF(REGEXMATCH($E285,""Human""),""Human "","""")&amp;I"&amp;"F(REGEXMATCH($E285,""Hunter""),""Hunter "","""")&amp;IF(REGEXMATCH($E285,""Animal""),""Animal "","""")&amp;IF(REGEXMATCH($E285,""Undead""),""Undead "","""")&amp;IF(REGEXMATCH($E285,""Plant""),""Plant "","""")&amp;IF(REGEXMATCH($E285,""Dinosaur""),""Dinosaur "","""")&amp;IF(R"&amp;"EGEXMATCH($E285,""Warrior""),""Warrior "","""")&amp;IF(REGEXMATCH($E285,""Spirit""),""Spirit "","""")&amp;IF(REGEXMATCH($E285,""Angel""),""Angel "","""")&amp;IF(REGEXMATCH($E285,""Demon""),""Demon "","""")&amp;IF(REGEXMATCH($E285,""Divine""),""Divine "","""")&amp;IF(REGEXMAT"&amp;"CH($E285,""Elemental""),""Elemental "","""")&amp;IF(REGEXMATCH($E285,""Nature""),""Nature "","""")&amp;IF(REGEXMATCH($E285,""Mortal""),""Mortal "","""")&amp;IF(REGEXMATCH($E285,""Void""),""Void "","""")&amp;IF(REGEXMATCH($E285,""Unearth|Ambush|Ritual|unearth|ambush|ritua"&amp;"l""),""Unearth "","""")&amp;IF(REGEXMATCH($E285,""Unleash|Crystallize|all realms|Crystalborn|crystallize""),""Ramp "","""")&amp;IF(REGEXMATCH($E285,""Demon""),""Demon "","""")&amp;IF(REGEXMATCH($E285,""bury|buries|Bury|Buries|Cleanse|puts a Unit|trail|Trail""),""Cont"&amp;"rol "","""")&amp;IF(REGEXMATCH($E285,""Bounce|Return|Copy|bounce|return|copy""),""Copy "","""")&amp;IF(REGEXMATCH($E285,""conquer|Conquer|leading in lanes|lead by""),""Aggro "","""")&amp;IF(REGEXMATCH($E285,""Ascend|ascend""),""Ascend "","""")&amp;IF(REGEXMATCH($E285,""B"&amp;"ury .+ Crystal|.*crystal.*bury""),""Empty-Crystal"","""")&amp;IF(REGEXMATCH($E285,""Move|move""),""Move"","""")"),"Copy ")</f>
        <v>Copy </v>
      </c>
      <c r="G285" s="12" t="s">
        <v>1211</v>
      </c>
      <c r="H285" s="11">
        <v>1.0</v>
      </c>
      <c r="I285" s="11" t="s">
        <v>1212</v>
      </c>
      <c r="J285" s="11" t="s">
        <v>33</v>
      </c>
      <c r="L285" s="13" t="str">
        <f>IFERROR(__xludf.DUMMYFUNCTION("IF(REGEXMATCH($B285,L$1),$D285,"""")"),"")</f>
        <v/>
      </c>
      <c r="M285" s="13" t="str">
        <f>IFERROR(__xludf.DUMMYFUNCTION("IF(REGEXMATCH($B285,M$1),$D285,"""")"),"Animal Demon")</f>
        <v>Animal Demon</v>
      </c>
      <c r="N285" s="13" t="str">
        <f>IFERROR(__xludf.DUMMYFUNCTION("IF(REGEXMATCH($B285,N$1),$D285,"""")"),"Animal Demon")</f>
        <v>Animal Demon</v>
      </c>
      <c r="O285" s="13" t="str">
        <f>IFERROR(__xludf.DUMMYFUNCTION("IF(REGEXMATCH($B285,O$1),$D285,"""")"),"")</f>
        <v/>
      </c>
      <c r="P285" s="13" t="str">
        <f>IFERROR(__xludf.DUMMYFUNCTION("IF(REGEXMATCH($B285,P$1),$D285,"""")"),"")</f>
        <v/>
      </c>
      <c r="Q285" s="13">
        <f>IFERROR(__xludf.DUMMYFUNCTION("IF($A285="""","""",LEN(REGEXREPLACE($I285,"",\s?"","""")))"),4.0)</f>
        <v>4</v>
      </c>
      <c r="S285" s="13"/>
      <c r="T285" s="13"/>
      <c r="U285" s="13"/>
      <c r="V285" s="13"/>
      <c r="W285" s="13"/>
      <c r="X285" s="13"/>
      <c r="Y285" s="13"/>
      <c r="Z285" s="13"/>
      <c r="AA285" s="13"/>
      <c r="AB285" s="13"/>
    </row>
    <row r="286" hidden="1">
      <c r="A286" s="10" t="s">
        <v>1213</v>
      </c>
      <c r="B286" s="83" t="s">
        <v>13</v>
      </c>
      <c r="C286" s="11">
        <v>2.0</v>
      </c>
      <c r="D286" s="11" t="s">
        <v>1162</v>
      </c>
      <c r="E286" s="10" t="s">
        <v>1214</v>
      </c>
      <c r="F286" s="10" t="str">
        <f>IFERROR(__xludf.DUMMYFUNCTION("IF(REGEXMATCH($E286,""Wizard""),""Wizard "","""")&amp;IF(REGEXMATCH($E286,""Construct""),""Construct "","""")&amp;IF(REGEXMATCH($E286,""Insect""),""Insect "","""")&amp;IF(REGEXMATCH($E286,""Dragon""),""Dragon "","""")&amp;IF(REGEXMATCH($E286,""Human""),""Human "","""")&amp;I"&amp;"F(REGEXMATCH($E286,""Hunter""),""Hunter "","""")&amp;IF(REGEXMATCH($E286,""Animal""),""Animal "","""")&amp;IF(REGEXMATCH($E286,""Undead""),""Undead "","""")&amp;IF(REGEXMATCH($E286,""Plant""),""Plant "","""")&amp;IF(REGEXMATCH($E286,""Dinosaur""),""Dinosaur "","""")&amp;IF(R"&amp;"EGEXMATCH($E286,""Warrior""),""Warrior "","""")&amp;IF(REGEXMATCH($E286,""Spirit""),""Spirit "","""")&amp;IF(REGEXMATCH($E286,""Angel""),""Angel "","""")&amp;IF(REGEXMATCH($E286,""Demon""),""Demon "","""")&amp;IF(REGEXMATCH($E286,""Divine""),""Divine "","""")&amp;IF(REGEXMAT"&amp;"CH($E286,""Elemental""),""Elemental "","""")&amp;IF(REGEXMATCH($E286,""Nature""),""Nature "","""")&amp;IF(REGEXMATCH($E286,""Mortal""),""Mortal "","""")&amp;IF(REGEXMATCH($E286,""Void""),""Void "","""")&amp;IF(REGEXMATCH($E286,""Unearth|Ambush|Ritual|unearth|ambush|ritua"&amp;"l""),""Unearth "","""")&amp;IF(REGEXMATCH($E286,""Unleash|Crystallize|all realms|Crystalborn|crystallize""),""Ramp "","""")&amp;IF(REGEXMATCH($E286,""Demon""),""Demon "","""")&amp;IF(REGEXMATCH($E286,""bury|buries|Bury|Buries|Cleanse|puts a Unit|trail|Trail""),""Cont"&amp;"rol "","""")&amp;IF(REGEXMATCH($E286,""Bounce|Return|Copy|bounce|return|copy""),""Copy "","""")&amp;IF(REGEXMATCH($E286,""conquer|Conquer|leading in lanes|lead by""),""Aggro "","""")&amp;IF(REGEXMATCH($E286,""Ascend|ascend""),""Ascend "","""")&amp;IF(REGEXMATCH($E286,""B"&amp;"ury .+ Crystal|.*crystal.*bury""),""Empty-Crystal"","""")&amp;IF(REGEXMATCH($E286,""Move|move""),""Move"","""")"),"")</f>
        <v/>
      </c>
      <c r="G286" s="12" t="s">
        <v>521</v>
      </c>
      <c r="H286" s="11">
        <v>1.0</v>
      </c>
      <c r="I286" s="11" t="s">
        <v>1136</v>
      </c>
      <c r="J286" s="11" t="s">
        <v>42</v>
      </c>
      <c r="L286" s="13" t="str">
        <f>IFERROR(__xludf.DUMMYFUNCTION("IF(REGEXMATCH($B286,L$1),$D286,"""")"),"")</f>
        <v/>
      </c>
      <c r="M286" s="13" t="str">
        <f>IFERROR(__xludf.DUMMYFUNCTION("IF(REGEXMATCH($B286,M$1),$D286,"""")"),"")</f>
        <v/>
      </c>
      <c r="N286" s="13" t="str">
        <f>IFERROR(__xludf.DUMMYFUNCTION("IF(REGEXMATCH($B286,N$1),$D286,"""")"),"Demon")</f>
        <v>Demon</v>
      </c>
      <c r="O286" s="13" t="str">
        <f>IFERROR(__xludf.DUMMYFUNCTION("IF(REGEXMATCH($B286,O$1),$D286,"""")"),"")</f>
        <v/>
      </c>
      <c r="P286" s="13" t="str">
        <f>IFERROR(__xludf.DUMMYFUNCTION("IF(REGEXMATCH($B286,P$1),$D286,"""")"),"")</f>
        <v/>
      </c>
      <c r="Q286" s="13">
        <f>IFERROR(__xludf.DUMMYFUNCTION("IF($A286="""","""",LEN(REGEXREPLACE($I286,"",\s?"","""")))"),1.0)</f>
        <v>1</v>
      </c>
      <c r="S286" s="13"/>
      <c r="T286" s="13"/>
      <c r="U286" s="13"/>
      <c r="V286" s="13"/>
      <c r="W286" s="13"/>
      <c r="X286" s="13"/>
      <c r="Y286" s="13"/>
      <c r="Z286" s="13"/>
      <c r="AA286" s="13"/>
      <c r="AB286" s="13"/>
    </row>
    <row r="287" hidden="1">
      <c r="A287" s="22" t="s">
        <v>1215</v>
      </c>
      <c r="B287" s="83" t="s">
        <v>13</v>
      </c>
      <c r="C287" s="11">
        <v>2.0</v>
      </c>
      <c r="D287" s="11" t="s">
        <v>814</v>
      </c>
      <c r="E287" s="10" t="s">
        <v>1216</v>
      </c>
      <c r="F287" s="10" t="str">
        <f>IFERROR(__xludf.DUMMYFUNCTION("IF(REGEXMATCH($E287,""Wizard""),""Wizard "","""")&amp;IF(REGEXMATCH($E287,""Construct""),""Construct "","""")&amp;IF(REGEXMATCH($E287,""Insect""),""Insect "","""")&amp;IF(REGEXMATCH($E287,""Dragon""),""Dragon "","""")&amp;IF(REGEXMATCH($E287,""Human""),""Human "","""")&amp;I"&amp;"F(REGEXMATCH($E287,""Hunter""),""Hunter "","""")&amp;IF(REGEXMATCH($E287,""Animal""),""Animal "","""")&amp;IF(REGEXMATCH($E287,""Undead""),""Undead "","""")&amp;IF(REGEXMATCH($E287,""Plant""),""Plant "","""")&amp;IF(REGEXMATCH($E287,""Dinosaur""),""Dinosaur "","""")&amp;IF(R"&amp;"EGEXMATCH($E287,""Warrior""),""Warrior "","""")&amp;IF(REGEXMATCH($E287,""Spirit""),""Spirit "","""")&amp;IF(REGEXMATCH($E287,""Angel""),""Angel "","""")&amp;IF(REGEXMATCH($E287,""Demon""),""Demon "","""")&amp;IF(REGEXMATCH($E287,""Divine""),""Divine "","""")&amp;IF(REGEXMAT"&amp;"CH($E287,""Elemental""),""Elemental "","""")&amp;IF(REGEXMATCH($E287,""Nature""),""Nature "","""")&amp;IF(REGEXMATCH($E287,""Mortal""),""Mortal "","""")&amp;IF(REGEXMATCH($E287,""Void""),""Void "","""")&amp;IF(REGEXMATCH($E287,""Unearth|Ambush|Ritual|unearth|ambush|ritua"&amp;"l""),""Unearth "","""")&amp;IF(REGEXMATCH($E287,""Unleash|Crystallize|all realms|Crystalborn|crystallize""),""Ramp "","""")&amp;IF(REGEXMATCH($E287,""Demon""),""Demon "","""")&amp;IF(REGEXMATCH($E287,""bury|buries|Bury|Buries|Cleanse|puts a Unit|trail|Trail""),""Cont"&amp;"rol "","""")&amp;IF(REGEXMATCH($E287,""Bounce|Return|Copy|bounce|return|copy""),""Copy "","""")&amp;IF(REGEXMATCH($E287,""conquer|Conquer|leading in lanes|lead by""),""Aggro "","""")&amp;IF(REGEXMATCH($E287,""Ascend|ascend""),""Ascend "","""")&amp;IF(REGEXMATCH($E287,""B"&amp;"ury .+ Crystal|.*crystal.*bury""),""Empty-Crystal"","""")&amp;IF(REGEXMATCH($E287,""Move|move""),""Move"","""")"),"")</f>
        <v/>
      </c>
      <c r="G287" s="12" t="s">
        <v>1217</v>
      </c>
      <c r="H287" s="11">
        <v>3.0</v>
      </c>
      <c r="I287" s="11" t="s">
        <v>1165</v>
      </c>
      <c r="J287" s="11" t="s">
        <v>42</v>
      </c>
      <c r="L287" s="13" t="str">
        <f>IFERROR(__xludf.DUMMYFUNCTION("IF(REGEXMATCH($B287,L$1),$D287,"""")"),"")</f>
        <v/>
      </c>
      <c r="M287" s="13" t="str">
        <f>IFERROR(__xludf.DUMMYFUNCTION("IF(REGEXMATCH($B287,M$1),$D287,"""")"),"")</f>
        <v/>
      </c>
      <c r="N287" s="13" t="str">
        <f>IFERROR(__xludf.DUMMYFUNCTION("IF(REGEXMATCH($B287,N$1),$D287,"""")"),"Undead")</f>
        <v>Undead</v>
      </c>
      <c r="O287" s="13" t="str">
        <f>IFERROR(__xludf.DUMMYFUNCTION("IF(REGEXMATCH($B287,O$1),$D287,"""")"),"")</f>
        <v/>
      </c>
      <c r="P287" s="13" t="str">
        <f>IFERROR(__xludf.DUMMYFUNCTION("IF(REGEXMATCH($B287,P$1),$D287,"""")"),"")</f>
        <v/>
      </c>
      <c r="Q287" s="13">
        <f>IFERROR(__xludf.DUMMYFUNCTION("IF($A287="""","""",LEN(REGEXREPLACE($I287,"",\s?"","""")))"),3.0)</f>
        <v>3</v>
      </c>
      <c r="S287" s="13"/>
      <c r="T287" s="13"/>
      <c r="U287" s="13"/>
      <c r="V287" s="13"/>
      <c r="W287" s="13"/>
      <c r="X287" s="13"/>
      <c r="Y287" s="13"/>
      <c r="Z287" s="13"/>
      <c r="AA287" s="13"/>
      <c r="AB287" s="13"/>
    </row>
    <row r="288">
      <c r="A288" s="10" t="s">
        <v>1218</v>
      </c>
      <c r="B288" s="10" t="s">
        <v>1119</v>
      </c>
      <c r="C288" s="11">
        <v>1.0</v>
      </c>
      <c r="D288" s="11" t="s">
        <v>1219</v>
      </c>
      <c r="E288" s="10"/>
      <c r="F288" s="10" t="str">
        <f>IFERROR(__xludf.DUMMYFUNCTION("IF(REGEXMATCH($E288,""Wizard""),""Wizard "","""")&amp;IF(REGEXMATCH($E288,""Construct""),""Construct "","""")&amp;IF(REGEXMATCH($E288,""Insect""),""Insect "","""")&amp;IF(REGEXMATCH($E288,""Dragon""),""Dragon "","""")&amp;IF(REGEXMATCH($E288,""Human""),""Human "","""")&amp;I"&amp;"F(REGEXMATCH($E288,""Hunter""),""Hunter "","""")&amp;IF(REGEXMATCH($E288,""Animal""),""Animal "","""")&amp;IF(REGEXMATCH($E288,""Undead""),""Undead "","""")&amp;IF(REGEXMATCH($E288,""Plant""),""Plant "","""")&amp;IF(REGEXMATCH($E288,""Dinosaur""),""Dinosaur "","""")&amp;IF(R"&amp;"EGEXMATCH($E288,""Warrior""),""Warrior "","""")&amp;IF(REGEXMATCH($E288,""Spirit""),""Spirit "","""")&amp;IF(REGEXMATCH($E288,""Angel""),""Angel "","""")&amp;IF(REGEXMATCH($E288,""Demon""),""Demon "","""")&amp;IF(REGEXMATCH($E288,""Divine""),""Divine "","""")&amp;IF(REGEXMAT"&amp;"CH($E288,""Elemental""),""Elemental "","""")&amp;IF(REGEXMATCH($E288,""Nature""),""Nature "","""")&amp;IF(REGEXMATCH($E288,""Mortal""),""Mortal "","""")&amp;IF(REGEXMATCH($E288,""Void""),""Void "","""")&amp;IF(REGEXMATCH($E288,""Unearth|Ambush|Ritual|unearth|ambush|ritua"&amp;"l""),""Unearth "","""")&amp;IF(REGEXMATCH($E288,""Unleash|Crystallize|all realms|Crystalborn|crystallize""),""Ramp "","""")&amp;IF(REGEXMATCH($E288,""Demon""),""Demon "","""")&amp;IF(REGEXMATCH($E288,""bury|buries|Bury|Buries|Cleanse|puts a Unit|trail|Trail""),""Cont"&amp;"rol "","""")&amp;IF(REGEXMATCH($E288,""Bounce|Return|Copy|bounce|return|copy""),""Copy "","""")&amp;IF(REGEXMATCH($E288,""conquer|Conquer|leading in lanes|lead by""),""Aggro "","""")&amp;IF(REGEXMATCH($E288,""Ascend|ascend""),""Ascend "","""")&amp;IF(REGEXMATCH($E288,""B"&amp;"ury .+ Crystal|.*crystal.*bury""),""Empty-Crystal"","""")&amp;IF(REGEXMATCH($E288,""Move|move""),""Move"","""")"),"")</f>
        <v/>
      </c>
      <c r="G288" s="12" t="s">
        <v>1220</v>
      </c>
      <c r="H288" s="11">
        <v>2.0</v>
      </c>
      <c r="I288" s="11" t="s">
        <v>1221</v>
      </c>
      <c r="J288" s="11" t="s">
        <v>42</v>
      </c>
      <c r="L288" s="13" t="str">
        <f>IFERROR(__xludf.DUMMYFUNCTION("IF(REGEXMATCH($B288,L$1),$D288,"""")"),"")</f>
        <v/>
      </c>
      <c r="M288" s="13" t="str">
        <f>IFERROR(__xludf.DUMMYFUNCTION("IF(REGEXMATCH($B288,M$1),$D288,"""")"),"Bannerbearer Plant Undead")</f>
        <v>Bannerbearer Plant Undead</v>
      </c>
      <c r="N288" s="13" t="str">
        <f>IFERROR(__xludf.DUMMYFUNCTION("IF(REGEXMATCH($B288,N$1),$D288,"""")"),"Bannerbearer Plant Undead")</f>
        <v>Bannerbearer Plant Undead</v>
      </c>
      <c r="O288" s="13" t="str">
        <f>IFERROR(__xludf.DUMMYFUNCTION("IF(REGEXMATCH($B288,O$1),$D288,"""")"),"")</f>
        <v/>
      </c>
      <c r="P288" s="13" t="str">
        <f>IFERROR(__xludf.DUMMYFUNCTION("IF(REGEXMATCH($B288,P$1),$D288,"""")"),"")</f>
        <v/>
      </c>
      <c r="Q288" s="13">
        <f>IFERROR(__xludf.DUMMYFUNCTION("IF($A288="""","""",LEN(REGEXREPLACE($I288,"",\s?"","""")))"),2.0)</f>
        <v>2</v>
      </c>
      <c r="S288" s="13"/>
      <c r="T288" s="13"/>
      <c r="U288" s="13"/>
      <c r="V288" s="13"/>
      <c r="W288" s="13"/>
      <c r="X288" s="13"/>
      <c r="Y288" s="13"/>
      <c r="Z288" s="13"/>
      <c r="AA288" s="13"/>
      <c r="AB288" s="13"/>
    </row>
    <row r="289" hidden="1">
      <c r="A289" s="22" t="s">
        <v>1222</v>
      </c>
      <c r="B289" s="83" t="s">
        <v>13</v>
      </c>
      <c r="C289" s="11">
        <v>2.0</v>
      </c>
      <c r="D289" s="11" t="s">
        <v>44</v>
      </c>
      <c r="E289" s="10" t="s">
        <v>1223</v>
      </c>
      <c r="F289" s="10" t="str">
        <f>IFERROR(__xludf.DUMMYFUNCTION("IF(REGEXMATCH($E289,""Wizard""),""Wizard "","""")&amp;IF(REGEXMATCH($E289,""Construct""),""Construct "","""")&amp;IF(REGEXMATCH($E289,""Insect""),""Insect "","""")&amp;IF(REGEXMATCH($E289,""Dragon""),""Dragon "","""")&amp;IF(REGEXMATCH($E289,""Human""),""Human "","""")&amp;I"&amp;"F(REGEXMATCH($E289,""Hunter""),""Hunter "","""")&amp;IF(REGEXMATCH($E289,""Animal""),""Animal "","""")&amp;IF(REGEXMATCH($E289,""Undead""),""Undead "","""")&amp;IF(REGEXMATCH($E289,""Plant""),""Plant "","""")&amp;IF(REGEXMATCH($E289,""Dinosaur""),""Dinosaur "","""")&amp;IF(R"&amp;"EGEXMATCH($E289,""Warrior""),""Warrior "","""")&amp;IF(REGEXMATCH($E289,""Spirit""),""Spirit "","""")&amp;IF(REGEXMATCH($E289,""Angel""),""Angel "","""")&amp;IF(REGEXMATCH($E289,""Demon""),""Demon "","""")&amp;IF(REGEXMATCH($E289,""Divine""),""Divine "","""")&amp;IF(REGEXMAT"&amp;"CH($E289,""Elemental""),""Elemental "","""")&amp;IF(REGEXMATCH($E289,""Nature""),""Nature "","""")&amp;IF(REGEXMATCH($E289,""Mortal""),""Mortal "","""")&amp;IF(REGEXMATCH($E289,""Void""),""Void "","""")&amp;IF(REGEXMATCH($E289,""Unearth|Ambush|Ritual|unearth|ambush|ritua"&amp;"l""),""Unearth "","""")&amp;IF(REGEXMATCH($E289,""Unleash|Crystallize|all realms|Crystalborn|crystallize""),""Ramp "","""")&amp;IF(REGEXMATCH($E289,""Demon""),""Demon "","""")&amp;IF(REGEXMATCH($E289,""bury|buries|Bury|Buries|Cleanse|puts a Unit|trail|Trail""),""Cont"&amp;"rol "","""")&amp;IF(REGEXMATCH($E289,""Bounce|Return|Copy|bounce|return|copy""),""Copy "","""")&amp;IF(REGEXMATCH($E289,""conquer|Conquer|leading in lanes|lead by""),""Aggro "","""")&amp;IF(REGEXMATCH($E289,""Ascend|ascend""),""Ascend "","""")&amp;IF(REGEXMATCH($E289,""B"&amp;"ury .+ Crystal|.*crystal.*bury""),""Empty-Crystal"","""")&amp;IF(REGEXMATCH($E289,""Move|move""),""Move"","""")"),"Construct Copy ")</f>
        <v>Construct Copy </v>
      </c>
      <c r="G289" s="12" t="s">
        <v>1224</v>
      </c>
      <c r="H289" s="11">
        <v>6.0</v>
      </c>
      <c r="I289" s="11" t="s">
        <v>1225</v>
      </c>
      <c r="J289" s="11" t="s">
        <v>50</v>
      </c>
      <c r="L289" s="13" t="str">
        <f>IFERROR(__xludf.DUMMYFUNCTION("IF(REGEXMATCH($B289,L$1),$D289,"""")"),"")</f>
        <v/>
      </c>
      <c r="M289" s="13" t="str">
        <f>IFERROR(__xludf.DUMMYFUNCTION("IF(REGEXMATCH($B289,M$1),$D289,"""")"),"")</f>
        <v/>
      </c>
      <c r="N289" s="13" t="str">
        <f>IFERROR(__xludf.DUMMYFUNCTION("IF(REGEXMATCH($B289,N$1),$D289,"""")"),"Human")</f>
        <v>Human</v>
      </c>
      <c r="O289" s="13" t="str">
        <f>IFERROR(__xludf.DUMMYFUNCTION("IF(REGEXMATCH($B289,O$1),$D289,"""")"),"")</f>
        <v/>
      </c>
      <c r="P289" s="13" t="str">
        <f>IFERROR(__xludf.DUMMYFUNCTION("IF(REGEXMATCH($B289,P$1),$D289,"""")"),"")</f>
        <v/>
      </c>
      <c r="Q289" s="13">
        <f>IFERROR(__xludf.DUMMYFUNCTION("IF($A289="""","""",LEN(REGEXREPLACE($I289,"",\s?"","""")))"),6.0)</f>
        <v>6</v>
      </c>
      <c r="S289" s="13"/>
      <c r="T289" s="13"/>
      <c r="U289" s="13"/>
      <c r="V289" s="13"/>
      <c r="W289" s="13"/>
      <c r="X289" s="13"/>
      <c r="Y289" s="13"/>
      <c r="Z289" s="13"/>
      <c r="AA289" s="13"/>
      <c r="AB289" s="13"/>
    </row>
    <row r="290" hidden="1">
      <c r="A290" s="10" t="s">
        <v>1226</v>
      </c>
      <c r="B290" s="83" t="s">
        <v>13</v>
      </c>
      <c r="C290" s="11">
        <v>2.0</v>
      </c>
      <c r="D290" s="11" t="s">
        <v>1162</v>
      </c>
      <c r="E290" s="19" t="s">
        <v>1227</v>
      </c>
      <c r="F290" s="10" t="str">
        <f>IFERROR(__xludf.DUMMYFUNCTION("IF(REGEXMATCH($E290,""Wizard""),""Wizard "","""")&amp;IF(REGEXMATCH($E290,""Construct""),""Construct "","""")&amp;IF(REGEXMATCH($E290,""Insect""),""Insect "","""")&amp;IF(REGEXMATCH($E290,""Dragon""),""Dragon "","""")&amp;IF(REGEXMATCH($E290,""Human""),""Human "","""")&amp;I"&amp;"F(REGEXMATCH($E290,""Hunter""),""Hunter "","""")&amp;IF(REGEXMATCH($E290,""Animal""),""Animal "","""")&amp;IF(REGEXMATCH($E290,""Undead""),""Undead "","""")&amp;IF(REGEXMATCH($E290,""Plant""),""Plant "","""")&amp;IF(REGEXMATCH($E290,""Dinosaur""),""Dinosaur "","""")&amp;IF(R"&amp;"EGEXMATCH($E290,""Warrior""),""Warrior "","""")&amp;IF(REGEXMATCH($E290,""Spirit""),""Spirit "","""")&amp;IF(REGEXMATCH($E290,""Angel""),""Angel "","""")&amp;IF(REGEXMATCH($E290,""Demon""),""Demon "","""")&amp;IF(REGEXMATCH($E290,""Divine""),""Divine "","""")&amp;IF(REGEXMAT"&amp;"CH($E290,""Elemental""),""Elemental "","""")&amp;IF(REGEXMATCH($E290,""Nature""),""Nature "","""")&amp;IF(REGEXMATCH($E290,""Mortal""),""Mortal "","""")&amp;IF(REGEXMATCH($E290,""Void""),""Void "","""")&amp;IF(REGEXMATCH($E290,""Unearth|Ambush|Ritual|unearth|ambush|ritua"&amp;"l""),""Unearth "","""")&amp;IF(REGEXMATCH($E290,""Unleash|Crystallize|all realms|Crystalborn|crystallize""),""Ramp "","""")&amp;IF(REGEXMATCH($E290,""Demon""),""Demon "","""")&amp;IF(REGEXMATCH($E290,""bury|buries|Bury|Buries|Cleanse|puts a Unit|trail|Trail""),""Cont"&amp;"rol "","""")&amp;IF(REGEXMATCH($E290,""Bounce|Return|Copy|bounce|return|copy""),""Copy "","""")&amp;IF(REGEXMATCH($E290,""conquer|Conquer|leading in lanes|lead by""),""Aggro "","""")&amp;IF(REGEXMATCH($E290,""Ascend|ascend""),""Ascend "","""")&amp;IF(REGEXMATCH($E290,""B"&amp;"ury .+ Crystal|.*crystal.*bury""),""Empty-Crystal"","""")&amp;IF(REGEXMATCH($E290,""Move|move""),""Move"","""")"),"")</f>
        <v/>
      </c>
      <c r="G290" s="12" t="s">
        <v>1228</v>
      </c>
      <c r="H290" s="11">
        <v>2.0</v>
      </c>
      <c r="I290" s="11" t="s">
        <v>1169</v>
      </c>
      <c r="J290" s="11" t="s">
        <v>50</v>
      </c>
      <c r="L290" s="13" t="str">
        <f>IFERROR(__xludf.DUMMYFUNCTION("IF(REGEXMATCH($B290,L$1),$D290,"""")"),"")</f>
        <v/>
      </c>
      <c r="M290" s="13" t="str">
        <f>IFERROR(__xludf.DUMMYFUNCTION("IF(REGEXMATCH($B290,M$1),$D290,"""")"),"")</f>
        <v/>
      </c>
      <c r="N290" s="13" t="str">
        <f>IFERROR(__xludf.DUMMYFUNCTION("IF(REGEXMATCH($B290,N$1),$D290,"""")"),"Demon")</f>
        <v>Demon</v>
      </c>
      <c r="O290" s="13" t="str">
        <f>IFERROR(__xludf.DUMMYFUNCTION("IF(REGEXMATCH($B290,O$1),$D290,"""")"),"")</f>
        <v/>
      </c>
      <c r="P290" s="13" t="str">
        <f>IFERROR(__xludf.DUMMYFUNCTION("IF(REGEXMATCH($B290,P$1),$D290,"""")"),"")</f>
        <v/>
      </c>
      <c r="Q290" s="13">
        <f>IFERROR(__xludf.DUMMYFUNCTION("IF($A290="""","""",LEN(REGEXREPLACE($I290,"",\s?"","""")))"),2.0)</f>
        <v>2</v>
      </c>
      <c r="S290" s="13"/>
      <c r="T290" s="13"/>
      <c r="U290" s="13"/>
      <c r="V290" s="13"/>
      <c r="W290" s="13"/>
      <c r="X290" s="13"/>
      <c r="Y290" s="13"/>
      <c r="Z290" s="13"/>
      <c r="AA290" s="13"/>
      <c r="AB290" s="13"/>
    </row>
    <row r="291" hidden="1">
      <c r="A291" s="19" t="s">
        <v>1229</v>
      </c>
      <c r="B291" s="83" t="s">
        <v>13</v>
      </c>
      <c r="C291" s="11">
        <v>2.0</v>
      </c>
      <c r="D291" s="18" t="s">
        <v>543</v>
      </c>
      <c r="E291" s="19" t="s">
        <v>1230</v>
      </c>
      <c r="F291" s="10" t="str">
        <f>IFERROR(__xludf.DUMMYFUNCTION("IF(REGEXMATCH($E291,""Wizard""),""Wizard "","""")&amp;IF(REGEXMATCH($E291,""Construct""),""Construct "","""")&amp;IF(REGEXMATCH($E291,""Insect""),""Insect "","""")&amp;IF(REGEXMATCH($E291,""Dragon""),""Dragon "","""")&amp;IF(REGEXMATCH($E291,""Human""),""Human "","""")&amp;I"&amp;"F(REGEXMATCH($E291,""Hunter""),""Hunter "","""")&amp;IF(REGEXMATCH($E291,""Animal""),""Animal "","""")&amp;IF(REGEXMATCH($E291,""Undead""),""Undead "","""")&amp;IF(REGEXMATCH($E291,""Plant""),""Plant "","""")&amp;IF(REGEXMATCH($E291,""Dinosaur""),""Dinosaur "","""")&amp;IF(R"&amp;"EGEXMATCH($E291,""Warrior""),""Warrior "","""")&amp;IF(REGEXMATCH($E291,""Spirit""),""Spirit "","""")&amp;IF(REGEXMATCH($E291,""Angel""),""Angel "","""")&amp;IF(REGEXMATCH($E291,""Demon""),""Demon "","""")&amp;IF(REGEXMATCH($E291,""Divine""),""Divine "","""")&amp;IF(REGEXMAT"&amp;"CH($E291,""Elemental""),""Elemental "","""")&amp;IF(REGEXMATCH($E291,""Nature""),""Nature "","""")&amp;IF(REGEXMATCH($E291,""Mortal""),""Mortal "","""")&amp;IF(REGEXMATCH($E291,""Void""),""Void "","""")&amp;IF(REGEXMATCH($E291,""Unearth|Ambush|Ritual|unearth|ambush|ritua"&amp;"l""),""Unearth "","""")&amp;IF(REGEXMATCH($E291,""Unleash|Crystallize|all realms|Crystalborn|crystallize""),""Ramp "","""")&amp;IF(REGEXMATCH($E291,""Demon""),""Demon "","""")&amp;IF(REGEXMATCH($E291,""bury|buries|Bury|Buries|Cleanse|puts a Unit|trail|Trail""),""Cont"&amp;"rol "","""")&amp;IF(REGEXMATCH($E291,""Bounce|Return|Copy|bounce|return|copy""),""Copy "","""")&amp;IF(REGEXMATCH($E291,""conquer|Conquer|leading in lanes|lead by""),""Aggro "","""")&amp;IF(REGEXMATCH($E291,""Ascend|ascend""),""Ascend "","""")&amp;IF(REGEXMATCH($E291,""B"&amp;"ury .+ Crystal|.*crystal.*bury""),""Empty-Crystal"","""")&amp;IF(REGEXMATCH($E291,""Move|move""),""Move"","""")"),"Demon Ramp Demon Control ")</f>
        <v>Demon Ramp Demon Control </v>
      </c>
      <c r="G291" s="50" t="s">
        <v>525</v>
      </c>
      <c r="H291" s="18">
        <v>5.0</v>
      </c>
      <c r="I291" s="18" t="s">
        <v>1231</v>
      </c>
      <c r="J291" s="18" t="s">
        <v>42</v>
      </c>
      <c r="L291" s="13" t="str">
        <f>IFERROR(__xludf.DUMMYFUNCTION("IF(REGEXMATCH($B291,L$1),$D291,"""")"),"")</f>
        <v/>
      </c>
      <c r="M291" s="13" t="str">
        <f>IFERROR(__xludf.DUMMYFUNCTION("IF(REGEXMATCH($B291,M$1),$D291,"""")"),"")</f>
        <v/>
      </c>
      <c r="N291" s="13" t="str">
        <f>IFERROR(__xludf.DUMMYFUNCTION("IF(REGEXMATCH($B291,N$1),$D291,"""")"),"Demon Dinosaur")</f>
        <v>Demon Dinosaur</v>
      </c>
      <c r="O291" s="13" t="str">
        <f>IFERROR(__xludf.DUMMYFUNCTION("IF(REGEXMATCH($B291,O$1),$D291,"""")"),"")</f>
        <v/>
      </c>
      <c r="P291" s="13" t="str">
        <f>IFERROR(__xludf.DUMMYFUNCTION("IF(REGEXMATCH($B291,P$1),$D291,"""")"),"")</f>
        <v/>
      </c>
      <c r="Q291" s="13">
        <f>IFERROR(__xludf.DUMMYFUNCTION("IF($A291="""","""",LEN(REGEXREPLACE($I291,"",\s?"","""")))"),4.0)</f>
        <v>4</v>
      </c>
      <c r="S291" s="13"/>
      <c r="T291" s="13"/>
      <c r="U291" s="13"/>
      <c r="V291" s="13"/>
      <c r="W291" s="13"/>
      <c r="X291" s="13"/>
      <c r="Y291" s="13"/>
      <c r="Z291" s="13"/>
      <c r="AA291" s="13"/>
      <c r="AB291" s="13"/>
    </row>
    <row r="292" hidden="1">
      <c r="A292" s="10" t="s">
        <v>1232</v>
      </c>
      <c r="B292" s="83" t="s">
        <v>13</v>
      </c>
      <c r="C292" s="11">
        <v>2.0</v>
      </c>
      <c r="D292" s="11" t="s">
        <v>1233</v>
      </c>
      <c r="E292" s="27" t="s">
        <v>1234</v>
      </c>
      <c r="F292" s="10" t="str">
        <f>IFERROR(__xludf.DUMMYFUNCTION("IF(REGEXMATCH($E292,""Wizard""),""Wizard "","""")&amp;IF(REGEXMATCH($E292,""Construct""),""Construct "","""")&amp;IF(REGEXMATCH($E292,""Insect""),""Insect "","""")&amp;IF(REGEXMATCH($E292,""Dragon""),""Dragon "","""")&amp;IF(REGEXMATCH($E292,""Human""),""Human "","""")&amp;I"&amp;"F(REGEXMATCH($E292,""Hunter""),""Hunter "","""")&amp;IF(REGEXMATCH($E292,""Animal""),""Animal "","""")&amp;IF(REGEXMATCH($E292,""Undead""),""Undead "","""")&amp;IF(REGEXMATCH($E292,""Plant""),""Plant "","""")&amp;IF(REGEXMATCH($E292,""Dinosaur""),""Dinosaur "","""")&amp;IF(R"&amp;"EGEXMATCH($E292,""Warrior""),""Warrior "","""")&amp;IF(REGEXMATCH($E292,""Spirit""),""Spirit "","""")&amp;IF(REGEXMATCH($E292,""Angel""),""Angel "","""")&amp;IF(REGEXMATCH($E292,""Demon""),""Demon "","""")&amp;IF(REGEXMATCH($E292,""Divine""),""Divine "","""")&amp;IF(REGEXMAT"&amp;"CH($E292,""Elemental""),""Elemental "","""")&amp;IF(REGEXMATCH($E292,""Nature""),""Nature "","""")&amp;IF(REGEXMATCH($E292,""Mortal""),""Mortal "","""")&amp;IF(REGEXMATCH($E292,""Void""),""Void "","""")&amp;IF(REGEXMATCH($E292,""Unearth|Ambush|Ritual|unearth|ambush|ritua"&amp;"l""),""Unearth "","""")&amp;IF(REGEXMATCH($E292,""Unleash|Crystallize|all realms|Crystalborn|crystallize""),""Ramp "","""")&amp;IF(REGEXMATCH($E292,""Demon""),""Demon "","""")&amp;IF(REGEXMATCH($E292,""bury|buries|Bury|Buries|Cleanse|puts a Unit|trail|Trail""),""Cont"&amp;"rol "","""")&amp;IF(REGEXMATCH($E292,""Bounce|Return|Copy|bounce|return|copy""),""Copy "","""")&amp;IF(REGEXMATCH($E292,""conquer|Conquer|leading in lanes|lead by""),""Aggro "","""")&amp;IF(REGEXMATCH($E292,""Ascend|ascend""),""Ascend "","""")&amp;IF(REGEXMATCH($E292,""B"&amp;"ury .+ Crystal|.*crystal.*bury""),""Empty-Crystal"","""")&amp;IF(REGEXMATCH($E292,""Move|move""),""Move"","""")"),"Control ")</f>
        <v>Control </v>
      </c>
      <c r="G292" s="20" t="s">
        <v>1235</v>
      </c>
      <c r="H292" s="11">
        <v>3.0</v>
      </c>
      <c r="I292" s="11" t="s">
        <v>1169</v>
      </c>
      <c r="J292" s="11" t="s">
        <v>50</v>
      </c>
      <c r="L292" s="13" t="str">
        <f>IFERROR(__xludf.DUMMYFUNCTION("IF(REGEXMATCH($B292,L$1),$D292,"""")"),"")</f>
        <v/>
      </c>
      <c r="M292" s="13" t="str">
        <f>IFERROR(__xludf.DUMMYFUNCTION("IF(REGEXMATCH($B292,M$1),$D292,"""")"),"")</f>
        <v/>
      </c>
      <c r="N292" s="13" t="str">
        <f>IFERROR(__xludf.DUMMYFUNCTION("IF(REGEXMATCH($B292,N$1),$D292,"""")"),"Crystalblight Undead")</f>
        <v>Crystalblight Undead</v>
      </c>
      <c r="O292" s="13" t="str">
        <f>IFERROR(__xludf.DUMMYFUNCTION("IF(REGEXMATCH($B292,O$1),$D292,"""")"),"")</f>
        <v/>
      </c>
      <c r="P292" s="13" t="str">
        <f>IFERROR(__xludf.DUMMYFUNCTION("IF(REGEXMATCH($B292,P$1),$D292,"""")"),"")</f>
        <v/>
      </c>
      <c r="Q292" s="13">
        <f>IFERROR(__xludf.DUMMYFUNCTION("IF($A292="""","""",LEN(REGEXREPLACE($I292,"",\s?"","""")))"),2.0)</f>
        <v>2</v>
      </c>
      <c r="S292" s="13"/>
      <c r="T292" s="13"/>
      <c r="U292" s="13"/>
      <c r="V292" s="13"/>
      <c r="W292" s="13"/>
      <c r="X292" s="13"/>
      <c r="Y292" s="13"/>
      <c r="Z292" s="13"/>
      <c r="AA292" s="13"/>
      <c r="AB292" s="13"/>
    </row>
    <row r="293">
      <c r="A293" s="30" t="s">
        <v>1236</v>
      </c>
      <c r="B293" s="19" t="s">
        <v>1119</v>
      </c>
      <c r="C293" s="18">
        <v>1.0</v>
      </c>
      <c r="D293" s="52" t="s">
        <v>1129</v>
      </c>
      <c r="E293" s="30" t="s">
        <v>1237</v>
      </c>
      <c r="F293" s="10" t="str">
        <f>IFERROR(__xludf.DUMMYFUNCTION("IF(REGEXMATCH($E293,""Wizard""),""Wizard "","""")&amp;IF(REGEXMATCH($E293,""Construct""),""Construct "","""")&amp;IF(REGEXMATCH($E293,""Insect""),""Insect "","""")&amp;IF(REGEXMATCH($E293,""Dragon""),""Dragon "","""")&amp;IF(REGEXMATCH($E293,""Human""),""Human "","""")&amp;I"&amp;"F(REGEXMATCH($E293,""Hunter""),""Hunter "","""")&amp;IF(REGEXMATCH($E293,""Animal""),""Animal "","""")&amp;IF(REGEXMATCH($E293,""Undead""),""Undead "","""")&amp;IF(REGEXMATCH($E293,""Plant""),""Plant "","""")&amp;IF(REGEXMATCH($E293,""Dinosaur""),""Dinosaur "","""")&amp;IF(R"&amp;"EGEXMATCH($E293,""Warrior""),""Warrior "","""")&amp;IF(REGEXMATCH($E293,""Spirit""),""Spirit "","""")&amp;IF(REGEXMATCH($E293,""Angel""),""Angel "","""")&amp;IF(REGEXMATCH($E293,""Demon""),""Demon "","""")&amp;IF(REGEXMATCH($E293,""Divine""),""Divine "","""")&amp;IF(REGEXMAT"&amp;"CH($E293,""Elemental""),""Elemental "","""")&amp;IF(REGEXMATCH($E293,""Nature""),""Nature "","""")&amp;IF(REGEXMATCH($E293,""Mortal""),""Mortal "","""")&amp;IF(REGEXMATCH($E293,""Void""),""Void "","""")&amp;IF(REGEXMATCH($E293,""Unearth|Ambush|Ritual|unearth|ambush|ritua"&amp;"l""),""Unearth "","""")&amp;IF(REGEXMATCH($E293,""Unleash|Crystallize|all realms|Crystalborn|crystallize""),""Ramp "","""")&amp;IF(REGEXMATCH($E293,""Demon""),""Demon "","""")&amp;IF(REGEXMATCH($E293,""bury|buries|Bury|Buries|Cleanse|puts a Unit|trail|Trail""),""Cont"&amp;"rol "","""")&amp;IF(REGEXMATCH($E293,""Bounce|Return|Copy|bounce|return|copy""),""Copy "","""")&amp;IF(REGEXMATCH($E293,""conquer|Conquer|leading in lanes|lead by""),""Aggro "","""")&amp;IF(REGEXMATCH($E293,""Ascend|ascend""),""Ascend "","""")&amp;IF(REGEXMATCH($E293,""B"&amp;"ury .+ Crystal|.*crystal.*bury""),""Empty-Crystal"","""")&amp;IF(REGEXMATCH($E293,""Move|move""),""Move"","""")"),"")</f>
        <v/>
      </c>
      <c r="G293" s="82" t="s">
        <v>1238</v>
      </c>
      <c r="H293" s="18">
        <v>0.0</v>
      </c>
      <c r="I293" s="18" t="s">
        <v>1239</v>
      </c>
      <c r="J293" s="18" t="s">
        <v>50</v>
      </c>
      <c r="L293" s="13" t="str">
        <f>IFERROR(__xludf.DUMMYFUNCTION("IF(REGEXMATCH($B293,L$1),$D293,"""")"),"")</f>
        <v/>
      </c>
      <c r="M293" s="13" t="str">
        <f>IFERROR(__xludf.DUMMYFUNCTION("IF(REGEXMATCH($B293,M$1),$D293,"""")"),"Demon Insect")</f>
        <v>Demon Insect</v>
      </c>
      <c r="N293" s="13" t="str">
        <f>IFERROR(__xludf.DUMMYFUNCTION("IF(REGEXMATCH($B293,N$1),$D293,"""")"),"Demon Insect")</f>
        <v>Demon Insect</v>
      </c>
      <c r="O293" s="13" t="str">
        <f>IFERROR(__xludf.DUMMYFUNCTION("IF(REGEXMATCH($B293,O$1),$D293,"""")"),"")</f>
        <v/>
      </c>
      <c r="P293" s="13" t="str">
        <f>IFERROR(__xludf.DUMMYFUNCTION("IF(REGEXMATCH($B293,P$1),$D293,"""")"),"")</f>
        <v/>
      </c>
      <c r="Q293" s="13">
        <f>IFERROR(__xludf.DUMMYFUNCTION("IF($A293="""","""",LEN(REGEXREPLACE($I293,"",\s?"","""")))"),4.0)</f>
        <v>4</v>
      </c>
      <c r="S293" s="13"/>
      <c r="T293" s="13"/>
      <c r="U293" s="13"/>
      <c r="V293" s="13"/>
      <c r="W293" s="13"/>
      <c r="X293" s="13"/>
      <c r="Y293" s="13"/>
      <c r="Z293" s="13"/>
      <c r="AA293" s="13"/>
      <c r="AB293" s="13"/>
    </row>
    <row r="294">
      <c r="A294" s="10" t="s">
        <v>1240</v>
      </c>
      <c r="B294" s="10" t="s">
        <v>13</v>
      </c>
      <c r="C294" s="11">
        <v>1.0</v>
      </c>
      <c r="D294" s="11" t="s">
        <v>1241</v>
      </c>
      <c r="E294" s="10" t="s">
        <v>1242</v>
      </c>
      <c r="F294" s="10" t="str">
        <f>IFERROR(__xludf.DUMMYFUNCTION("IF(REGEXMATCH($E294,""Wizard""),""Wizard "","""")&amp;IF(REGEXMATCH($E294,""Construct""),""Construct "","""")&amp;IF(REGEXMATCH($E294,""Insect""),""Insect "","""")&amp;IF(REGEXMATCH($E294,""Dragon""),""Dragon "","""")&amp;IF(REGEXMATCH($E294,""Human""),""Human "","""")&amp;I"&amp;"F(REGEXMATCH($E294,""Hunter""),""Hunter "","""")&amp;IF(REGEXMATCH($E294,""Animal""),""Animal "","""")&amp;IF(REGEXMATCH($E294,""Undead""),""Undead "","""")&amp;IF(REGEXMATCH($E294,""Plant""),""Plant "","""")&amp;IF(REGEXMATCH($E294,""Dinosaur""),""Dinosaur "","""")&amp;IF(R"&amp;"EGEXMATCH($E294,""Warrior""),""Warrior "","""")&amp;IF(REGEXMATCH($E294,""Spirit""),""Spirit "","""")&amp;IF(REGEXMATCH($E294,""Angel""),""Angel "","""")&amp;IF(REGEXMATCH($E294,""Demon""),""Demon "","""")&amp;IF(REGEXMATCH($E294,""Divine""),""Divine "","""")&amp;IF(REGEXMAT"&amp;"CH($E294,""Elemental""),""Elemental "","""")&amp;IF(REGEXMATCH($E294,""Nature""),""Nature "","""")&amp;IF(REGEXMATCH($E294,""Mortal""),""Mortal "","""")&amp;IF(REGEXMATCH($E294,""Void""),""Void "","""")&amp;IF(REGEXMATCH($E294,""Unearth|Ambush|Ritual|unearth|ambush|ritua"&amp;"l""),""Unearth "","""")&amp;IF(REGEXMATCH($E294,""Unleash|Crystallize|all realms|Crystalborn|crystallize""),""Ramp "","""")&amp;IF(REGEXMATCH($E294,""Demon""),""Demon "","""")&amp;IF(REGEXMATCH($E294,""bury|buries|Bury|Buries|Cleanse|puts a Unit|trail|Trail""),""Cont"&amp;"rol "","""")&amp;IF(REGEXMATCH($E294,""Bounce|Return|Copy|bounce|return|copy""),""Copy "","""")&amp;IF(REGEXMATCH($E294,""conquer|Conquer|leading in lanes|lead by""),""Aggro "","""")&amp;IF(REGEXMATCH($E294,""Ascend|ascend""),""Ascend "","""")&amp;IF(REGEXMATCH($E294,""B"&amp;"ury .+ Crystal|.*crystal.*bury""),""Empty-Crystal"","""")&amp;IF(REGEXMATCH($E294,""Move|move""),""Move"","""")"),"Angel Demon Unearth Demon ")</f>
        <v>Angel Demon Unearth Demon </v>
      </c>
      <c r="G294" s="12" t="s">
        <v>1243</v>
      </c>
      <c r="H294" s="11">
        <v>6.0</v>
      </c>
      <c r="I294" s="11" t="s">
        <v>1225</v>
      </c>
      <c r="J294" s="11" t="s">
        <v>33</v>
      </c>
      <c r="L294" s="13" t="str">
        <f>IFERROR(__xludf.DUMMYFUNCTION("IF(REGEXMATCH($B294,L$1),$D294,"""")"),"")</f>
        <v/>
      </c>
      <c r="M294" s="13" t="str">
        <f>IFERROR(__xludf.DUMMYFUNCTION("IF(REGEXMATCH($B294,M$1),$D294,"""")"),"")</f>
        <v/>
      </c>
      <c r="N294" s="13" t="str">
        <f>IFERROR(__xludf.DUMMYFUNCTION("IF(REGEXMATCH($B294,N$1),$D294,"""")"),"Angel Demon")</f>
        <v>Angel Demon</v>
      </c>
      <c r="O294" s="13" t="str">
        <f>IFERROR(__xludf.DUMMYFUNCTION("IF(REGEXMATCH($B294,O$1),$D294,"""")"),"")</f>
        <v/>
      </c>
      <c r="P294" s="13" t="str">
        <f>IFERROR(__xludf.DUMMYFUNCTION("IF(REGEXMATCH($B294,P$1),$D294,"""")"),"")</f>
        <v/>
      </c>
      <c r="Q294" s="13">
        <f>IFERROR(__xludf.DUMMYFUNCTION("IF($A294="""","""",LEN(REGEXREPLACE($I294,"",\s?"","""")))"),6.0)</f>
        <v>6</v>
      </c>
      <c r="S294" s="13"/>
      <c r="T294" s="13"/>
      <c r="U294" s="13"/>
      <c r="V294" s="13"/>
      <c r="W294" s="13"/>
      <c r="X294" s="13"/>
      <c r="Y294" s="13"/>
      <c r="Z294" s="13"/>
      <c r="AA294" s="13"/>
      <c r="AB294" s="13"/>
    </row>
    <row r="295" hidden="1">
      <c r="A295" s="10" t="s">
        <v>1244</v>
      </c>
      <c r="B295" s="83" t="s">
        <v>13</v>
      </c>
      <c r="C295" s="11">
        <v>2.0</v>
      </c>
      <c r="D295" s="11" t="s">
        <v>322</v>
      </c>
      <c r="E295" s="10" t="s">
        <v>1245</v>
      </c>
      <c r="F295" s="10" t="str">
        <f>IFERROR(__xludf.DUMMYFUNCTION("IF(REGEXMATCH($E295,""Wizard""),""Wizard "","""")&amp;IF(REGEXMATCH($E295,""Construct""),""Construct "","""")&amp;IF(REGEXMATCH($E295,""Insect""),""Insect "","""")&amp;IF(REGEXMATCH($E295,""Dragon""),""Dragon "","""")&amp;IF(REGEXMATCH($E295,""Human""),""Human "","""")&amp;I"&amp;"F(REGEXMATCH($E295,""Hunter""),""Hunter "","""")&amp;IF(REGEXMATCH($E295,""Animal""),""Animal "","""")&amp;IF(REGEXMATCH($E295,""Undead""),""Undead "","""")&amp;IF(REGEXMATCH($E295,""Plant""),""Plant "","""")&amp;IF(REGEXMATCH($E295,""Dinosaur""),""Dinosaur "","""")&amp;IF(R"&amp;"EGEXMATCH($E295,""Warrior""),""Warrior "","""")&amp;IF(REGEXMATCH($E295,""Spirit""),""Spirit "","""")&amp;IF(REGEXMATCH($E295,""Angel""),""Angel "","""")&amp;IF(REGEXMATCH($E295,""Demon""),""Demon "","""")&amp;IF(REGEXMATCH($E295,""Divine""),""Divine "","""")&amp;IF(REGEXMAT"&amp;"CH($E295,""Elemental""),""Elemental "","""")&amp;IF(REGEXMATCH($E295,""Nature""),""Nature "","""")&amp;IF(REGEXMATCH($E295,""Mortal""),""Mortal "","""")&amp;IF(REGEXMATCH($E295,""Void""),""Void "","""")&amp;IF(REGEXMATCH($E295,""Unearth|Ambush|Ritual|unearth|ambush|ritua"&amp;"l""),""Unearth "","""")&amp;IF(REGEXMATCH($E295,""Unleash|Crystallize|all realms|Crystalborn|crystallize""),""Ramp "","""")&amp;IF(REGEXMATCH($E295,""Demon""),""Demon "","""")&amp;IF(REGEXMATCH($E295,""bury|buries|Bury|Buries|Cleanse|puts a Unit|trail|Trail""),""Cont"&amp;"rol "","""")&amp;IF(REGEXMATCH($E295,""Bounce|Return|Copy|bounce|return|copy""),""Copy "","""")&amp;IF(REGEXMATCH($E295,""conquer|Conquer|leading in lanes|lead by""),""Aggro "","""")&amp;IF(REGEXMATCH($E295,""Ascend|ascend""),""Ascend "","""")&amp;IF(REGEXMATCH($E295,""B"&amp;"ury .+ Crystal|.*crystal.*bury""),""Empty-Crystal"","""")&amp;IF(REGEXMATCH($E295,""Move|move""),""Move"","""")"),"Control ")</f>
        <v>Control </v>
      </c>
      <c r="G295" s="12" t="s">
        <v>1175</v>
      </c>
      <c r="H295" s="11">
        <v>1.0</v>
      </c>
      <c r="I295" s="11" t="s">
        <v>1165</v>
      </c>
      <c r="J295" s="11" t="s">
        <v>42</v>
      </c>
      <c r="L295" s="13" t="str">
        <f>IFERROR(__xludf.DUMMYFUNCTION("IF(REGEXMATCH($B295,L$1),$D295,"""")"),"")</f>
        <v/>
      </c>
      <c r="M295" s="13" t="str">
        <f>IFERROR(__xludf.DUMMYFUNCTION("IF(REGEXMATCH($B295,M$1),$D295,"""")"),"")</f>
        <v/>
      </c>
      <c r="N295" s="13" t="str">
        <f>IFERROR(__xludf.DUMMYFUNCTION("IF(REGEXMATCH($B295,N$1),$D295,"""")"),"Undead Warrior")</f>
        <v>Undead Warrior</v>
      </c>
      <c r="O295" s="13" t="str">
        <f>IFERROR(__xludf.DUMMYFUNCTION("IF(REGEXMATCH($B295,O$1),$D295,"""")"),"")</f>
        <v/>
      </c>
      <c r="P295" s="13" t="str">
        <f>IFERROR(__xludf.DUMMYFUNCTION("IF(REGEXMATCH($B295,P$1),$D295,"""")"),"")</f>
        <v/>
      </c>
      <c r="Q295" s="13">
        <f>IFERROR(__xludf.DUMMYFUNCTION("IF($A295="""","""",LEN(REGEXREPLACE($I295,"",\s?"","""")))"),3.0)</f>
        <v>3</v>
      </c>
      <c r="S295" s="13"/>
      <c r="T295" s="13"/>
      <c r="U295" s="13"/>
      <c r="V295" s="13"/>
      <c r="W295" s="13"/>
      <c r="X295" s="13"/>
      <c r="Y295" s="13"/>
      <c r="Z295" s="13"/>
      <c r="AA295" s="13"/>
      <c r="AB295" s="13"/>
    </row>
    <row r="296" hidden="1">
      <c r="A296" s="10" t="s">
        <v>1246</v>
      </c>
      <c r="B296" s="83" t="s">
        <v>13</v>
      </c>
      <c r="C296" s="11">
        <v>2.0</v>
      </c>
      <c r="D296" s="11" t="s">
        <v>1129</v>
      </c>
      <c r="E296" s="10" t="s">
        <v>1247</v>
      </c>
      <c r="F296" s="10" t="str">
        <f>IFERROR(__xludf.DUMMYFUNCTION("IF(REGEXMATCH($E296,""Wizard""),""Wizard "","""")&amp;IF(REGEXMATCH($E296,""Construct""),""Construct "","""")&amp;IF(REGEXMATCH($E296,""Insect""),""Insect "","""")&amp;IF(REGEXMATCH($E296,""Dragon""),""Dragon "","""")&amp;IF(REGEXMATCH($E296,""Human""),""Human "","""")&amp;I"&amp;"F(REGEXMATCH($E296,""Hunter""),""Hunter "","""")&amp;IF(REGEXMATCH($E296,""Animal""),""Animal "","""")&amp;IF(REGEXMATCH($E296,""Undead""),""Undead "","""")&amp;IF(REGEXMATCH($E296,""Plant""),""Plant "","""")&amp;IF(REGEXMATCH($E296,""Dinosaur""),""Dinosaur "","""")&amp;IF(R"&amp;"EGEXMATCH($E296,""Warrior""),""Warrior "","""")&amp;IF(REGEXMATCH($E296,""Spirit""),""Spirit "","""")&amp;IF(REGEXMATCH($E296,""Angel""),""Angel "","""")&amp;IF(REGEXMATCH($E296,""Demon""),""Demon "","""")&amp;IF(REGEXMATCH($E296,""Divine""),""Divine "","""")&amp;IF(REGEXMAT"&amp;"CH($E296,""Elemental""),""Elemental "","""")&amp;IF(REGEXMATCH($E296,""Nature""),""Nature "","""")&amp;IF(REGEXMATCH($E296,""Mortal""),""Mortal "","""")&amp;IF(REGEXMATCH($E296,""Void""),""Void "","""")&amp;IF(REGEXMATCH($E296,""Unearth|Ambush|Ritual|unearth|ambush|ritua"&amp;"l""),""Unearth "","""")&amp;IF(REGEXMATCH($E296,""Unleash|Crystallize|all realms|Crystalborn|crystallize""),""Ramp "","""")&amp;IF(REGEXMATCH($E296,""Demon""),""Demon "","""")&amp;IF(REGEXMATCH($E296,""bury|buries|Bury|Buries|Cleanse|puts a Unit|trail|Trail""),""Cont"&amp;"rol "","""")&amp;IF(REGEXMATCH($E296,""Bounce|Return|Copy|bounce|return|copy""),""Copy "","""")&amp;IF(REGEXMATCH($E296,""conquer|Conquer|leading in lanes|lead by""),""Aggro "","""")&amp;IF(REGEXMATCH($E296,""Ascend|ascend""),""Ascend "","""")&amp;IF(REGEXMATCH($E296,""B"&amp;"ury .+ Crystal|.*crystal.*bury""),""Empty-Crystal"","""")&amp;IF(REGEXMATCH($E296,""Move|move""),""Move"","""")"),"")</f>
        <v/>
      </c>
      <c r="G296" s="12" t="s">
        <v>1248</v>
      </c>
      <c r="H296" s="11">
        <v>1.0</v>
      </c>
      <c r="I296" s="57" t="s">
        <v>1231</v>
      </c>
      <c r="J296" s="11" t="s">
        <v>50</v>
      </c>
      <c r="L296" s="13" t="str">
        <f>IFERROR(__xludf.DUMMYFUNCTION("IF(REGEXMATCH($B296,L$1),$D296,"""")"),"")</f>
        <v/>
      </c>
      <c r="M296" s="13" t="str">
        <f>IFERROR(__xludf.DUMMYFUNCTION("IF(REGEXMATCH($B296,M$1),$D296,"""")"),"")</f>
        <v/>
      </c>
      <c r="N296" s="13" t="str">
        <f>IFERROR(__xludf.DUMMYFUNCTION("IF(REGEXMATCH($B296,N$1),$D296,"""")"),"Demon Insect")</f>
        <v>Demon Insect</v>
      </c>
      <c r="O296" s="13" t="str">
        <f>IFERROR(__xludf.DUMMYFUNCTION("IF(REGEXMATCH($B296,O$1),$D296,"""")"),"")</f>
        <v/>
      </c>
      <c r="P296" s="13" t="str">
        <f>IFERROR(__xludf.DUMMYFUNCTION("IF(REGEXMATCH($B296,P$1),$D296,"""")"),"")</f>
        <v/>
      </c>
      <c r="Q296" s="13">
        <f>IFERROR(__xludf.DUMMYFUNCTION("IF($A296="""","""",LEN(REGEXREPLACE($I296,"",\s?"","""")))"),4.0)</f>
        <v>4</v>
      </c>
      <c r="S296" s="13"/>
      <c r="T296" s="13"/>
      <c r="U296" s="13"/>
      <c r="V296" s="13"/>
      <c r="W296" s="13"/>
      <c r="X296" s="13"/>
      <c r="Y296" s="13"/>
      <c r="Z296" s="13"/>
      <c r="AA296" s="13"/>
      <c r="AB296" s="13"/>
    </row>
    <row r="297">
      <c r="A297" s="29" t="s">
        <v>1249</v>
      </c>
      <c r="B297" s="10" t="s">
        <v>13</v>
      </c>
      <c r="C297" s="11">
        <v>1.0</v>
      </c>
      <c r="D297" s="11" t="s">
        <v>707</v>
      </c>
      <c r="E297" s="10" t="s">
        <v>627</v>
      </c>
      <c r="F297" s="10" t="str">
        <f>IFERROR(__xludf.DUMMYFUNCTION("IF(REGEXMATCH($E297,""Wizard""),""Wizard "","""")&amp;IF(REGEXMATCH($E297,""Construct""),""Construct "","""")&amp;IF(REGEXMATCH($E297,""Insect""),""Insect "","""")&amp;IF(REGEXMATCH($E297,""Dragon""),""Dragon "","""")&amp;IF(REGEXMATCH($E297,""Human""),""Human "","""")&amp;I"&amp;"F(REGEXMATCH($E297,""Hunter""),""Hunter "","""")&amp;IF(REGEXMATCH($E297,""Animal""),""Animal "","""")&amp;IF(REGEXMATCH($E297,""Undead""),""Undead "","""")&amp;IF(REGEXMATCH($E297,""Plant""),""Plant "","""")&amp;IF(REGEXMATCH($E297,""Dinosaur""),""Dinosaur "","""")&amp;IF(R"&amp;"EGEXMATCH($E297,""Warrior""),""Warrior "","""")&amp;IF(REGEXMATCH($E297,""Spirit""),""Spirit "","""")&amp;IF(REGEXMATCH($E297,""Angel""),""Angel "","""")&amp;IF(REGEXMATCH($E297,""Demon""),""Demon "","""")&amp;IF(REGEXMATCH($E297,""Divine""),""Divine "","""")&amp;IF(REGEXMAT"&amp;"CH($E297,""Elemental""),""Elemental "","""")&amp;IF(REGEXMATCH($E297,""Nature""),""Nature "","""")&amp;IF(REGEXMATCH($E297,""Mortal""),""Mortal "","""")&amp;IF(REGEXMATCH($E297,""Void""),""Void "","""")&amp;IF(REGEXMATCH($E297,""Unearth|Ambush|Ritual|unearth|ambush|ritua"&amp;"l""),""Unearth "","""")&amp;IF(REGEXMATCH($E297,""Unleash|Crystallize|all realms|Crystalborn|crystallize""),""Ramp "","""")&amp;IF(REGEXMATCH($E297,""Demon""),""Demon "","""")&amp;IF(REGEXMATCH($E297,""bury|buries|Bury|Buries|Cleanse|puts a Unit|trail|Trail""),""Cont"&amp;"rol "","""")&amp;IF(REGEXMATCH($E297,""Bounce|Return|Copy|bounce|return|copy""),""Copy "","""")&amp;IF(REGEXMATCH($E297,""conquer|Conquer|leading in lanes|lead by""),""Aggro "","""")&amp;IF(REGEXMATCH($E297,""Ascend|ascend""),""Ascend "","""")&amp;IF(REGEXMATCH($E297,""B"&amp;"ury .+ Crystal|.*crystal.*bury""),""Empty-Crystal"","""")&amp;IF(REGEXMATCH($E297,""Move|move""),""Move"","""")"),"")</f>
        <v/>
      </c>
      <c r="G297" s="20" t="s">
        <v>1250</v>
      </c>
      <c r="H297" s="21">
        <v>3.0</v>
      </c>
      <c r="I297" s="11" t="s">
        <v>1165</v>
      </c>
      <c r="J297" s="21" t="s">
        <v>42</v>
      </c>
      <c r="L297" s="13" t="str">
        <f>IFERROR(__xludf.DUMMYFUNCTION("IF(REGEXMATCH($B297,L$1),$D297,"""")"),"")</f>
        <v/>
      </c>
      <c r="M297" s="13" t="str">
        <f>IFERROR(__xludf.DUMMYFUNCTION("IF(REGEXMATCH($B297,M$1),$D297,"""")"),"")</f>
        <v/>
      </c>
      <c r="N297" s="13" t="str">
        <f>IFERROR(__xludf.DUMMYFUNCTION("IF(REGEXMATCH($B297,N$1),$D297,"""")"),"Animal Demon")</f>
        <v>Animal Demon</v>
      </c>
      <c r="O297" s="13" t="str">
        <f>IFERROR(__xludf.DUMMYFUNCTION("IF(REGEXMATCH($B297,O$1),$D297,"""")"),"")</f>
        <v/>
      </c>
      <c r="P297" s="13" t="str">
        <f>IFERROR(__xludf.DUMMYFUNCTION("IF(REGEXMATCH($B297,P$1),$D297,"""")"),"")</f>
        <v/>
      </c>
      <c r="Q297" s="13">
        <f>IFERROR(__xludf.DUMMYFUNCTION("IF($A297="""","""",LEN(REGEXREPLACE($I297,"",\s?"","""")))"),3.0)</f>
        <v>3</v>
      </c>
      <c r="S297" s="13"/>
      <c r="T297" s="13"/>
      <c r="U297" s="13"/>
      <c r="V297" s="13"/>
      <c r="W297" s="13"/>
      <c r="X297" s="13"/>
      <c r="Y297" s="13"/>
      <c r="Z297" s="13"/>
      <c r="AA297" s="13"/>
      <c r="AB297" s="13"/>
    </row>
    <row r="298" hidden="1">
      <c r="A298" s="10" t="s">
        <v>1251</v>
      </c>
      <c r="B298" s="83" t="s">
        <v>13</v>
      </c>
      <c r="C298" s="11">
        <v>2.0</v>
      </c>
      <c r="D298" s="11" t="s">
        <v>1162</v>
      </c>
      <c r="E298" s="10" t="s">
        <v>1252</v>
      </c>
      <c r="F298" s="10" t="str">
        <f>IFERROR(__xludf.DUMMYFUNCTION("IF(REGEXMATCH($E298,""Wizard""),""Wizard "","""")&amp;IF(REGEXMATCH($E298,""Construct""),""Construct "","""")&amp;IF(REGEXMATCH($E298,""Insect""),""Insect "","""")&amp;IF(REGEXMATCH($E298,""Dragon""),""Dragon "","""")&amp;IF(REGEXMATCH($E298,""Human""),""Human "","""")&amp;I"&amp;"F(REGEXMATCH($E298,""Hunter""),""Hunter "","""")&amp;IF(REGEXMATCH($E298,""Animal""),""Animal "","""")&amp;IF(REGEXMATCH($E298,""Undead""),""Undead "","""")&amp;IF(REGEXMATCH($E298,""Plant""),""Plant "","""")&amp;IF(REGEXMATCH($E298,""Dinosaur""),""Dinosaur "","""")&amp;IF(R"&amp;"EGEXMATCH($E298,""Warrior""),""Warrior "","""")&amp;IF(REGEXMATCH($E298,""Spirit""),""Spirit "","""")&amp;IF(REGEXMATCH($E298,""Angel""),""Angel "","""")&amp;IF(REGEXMATCH($E298,""Demon""),""Demon "","""")&amp;IF(REGEXMATCH($E298,""Divine""),""Divine "","""")&amp;IF(REGEXMAT"&amp;"CH($E298,""Elemental""),""Elemental "","""")&amp;IF(REGEXMATCH($E298,""Nature""),""Nature "","""")&amp;IF(REGEXMATCH($E298,""Mortal""),""Mortal "","""")&amp;IF(REGEXMATCH($E298,""Void""),""Void "","""")&amp;IF(REGEXMATCH($E298,""Unearth|Ambush|Ritual|unearth|ambush|ritua"&amp;"l""),""Unearth "","""")&amp;IF(REGEXMATCH($E298,""Unleash|Crystallize|all realms|Crystalborn|crystallize""),""Ramp "","""")&amp;IF(REGEXMATCH($E298,""Demon""),""Demon "","""")&amp;IF(REGEXMATCH($E298,""bury|buries|Bury|Buries|Cleanse|puts a Unit|trail|Trail""),""Cont"&amp;"rol "","""")&amp;IF(REGEXMATCH($E298,""Bounce|Return|Copy|bounce|return|copy""),""Copy "","""")&amp;IF(REGEXMATCH($E298,""conquer|Conquer|leading in lanes|lead by""),""Aggro "","""")&amp;IF(REGEXMATCH($E298,""Ascend|ascend""),""Ascend "","""")&amp;IF(REGEXMATCH($E298,""B"&amp;"ury .+ Crystal|.*crystal.*bury""),""Empty-Crystal"","""")&amp;IF(REGEXMATCH($E298,""Move|move""),""Move"","""")"),"Ramp ")</f>
        <v>Ramp </v>
      </c>
      <c r="G298" s="12" t="s">
        <v>1253</v>
      </c>
      <c r="H298" s="11">
        <v>3.0</v>
      </c>
      <c r="I298" s="11" t="s">
        <v>1165</v>
      </c>
      <c r="J298" s="11" t="s">
        <v>50</v>
      </c>
      <c r="L298" s="13" t="str">
        <f>IFERROR(__xludf.DUMMYFUNCTION("IF(REGEXMATCH($B298,L$1),$D298,"""")"),"")</f>
        <v/>
      </c>
      <c r="M298" s="13" t="str">
        <f>IFERROR(__xludf.DUMMYFUNCTION("IF(REGEXMATCH($B298,M$1),$D298,"""")"),"")</f>
        <v/>
      </c>
      <c r="N298" s="13" t="str">
        <f>IFERROR(__xludf.DUMMYFUNCTION("IF(REGEXMATCH($B298,N$1),$D298,"""")"),"Demon")</f>
        <v>Demon</v>
      </c>
      <c r="O298" s="13" t="str">
        <f>IFERROR(__xludf.DUMMYFUNCTION("IF(REGEXMATCH($B298,O$1),$D298,"""")"),"")</f>
        <v/>
      </c>
      <c r="P298" s="13" t="str">
        <f>IFERROR(__xludf.DUMMYFUNCTION("IF(REGEXMATCH($B298,P$1),$D298,"""")"),"")</f>
        <v/>
      </c>
      <c r="Q298" s="13">
        <f>IFERROR(__xludf.DUMMYFUNCTION("IF($A298="""","""",LEN(REGEXREPLACE($I298,"",\s?"","""")))"),3.0)</f>
        <v>3</v>
      </c>
      <c r="S298" s="13"/>
      <c r="T298" s="13"/>
      <c r="U298" s="13"/>
      <c r="V298" s="13"/>
      <c r="W298" s="13"/>
      <c r="X298" s="13"/>
      <c r="Y298" s="13"/>
      <c r="Z298" s="13"/>
      <c r="AA298" s="13"/>
      <c r="AB298" s="13"/>
    </row>
    <row r="299">
      <c r="A299" s="29" t="s">
        <v>1254</v>
      </c>
      <c r="B299" s="10" t="s">
        <v>13</v>
      </c>
      <c r="C299" s="11">
        <v>1.0</v>
      </c>
      <c r="D299" s="11" t="s">
        <v>707</v>
      </c>
      <c r="E299" s="10" t="s">
        <v>1255</v>
      </c>
      <c r="F299" s="10" t="str">
        <f>IFERROR(__xludf.DUMMYFUNCTION("IF(REGEXMATCH($E299,""Wizard""),""Wizard "","""")&amp;IF(REGEXMATCH($E299,""Construct""),""Construct "","""")&amp;IF(REGEXMATCH($E299,""Insect""),""Insect "","""")&amp;IF(REGEXMATCH($E299,""Dragon""),""Dragon "","""")&amp;IF(REGEXMATCH($E299,""Human""),""Human "","""")&amp;I"&amp;"F(REGEXMATCH($E299,""Hunter""),""Hunter "","""")&amp;IF(REGEXMATCH($E299,""Animal""),""Animal "","""")&amp;IF(REGEXMATCH($E299,""Undead""),""Undead "","""")&amp;IF(REGEXMATCH($E299,""Plant""),""Plant "","""")&amp;IF(REGEXMATCH($E299,""Dinosaur""),""Dinosaur "","""")&amp;IF(R"&amp;"EGEXMATCH($E299,""Warrior""),""Warrior "","""")&amp;IF(REGEXMATCH($E299,""Spirit""),""Spirit "","""")&amp;IF(REGEXMATCH($E299,""Angel""),""Angel "","""")&amp;IF(REGEXMATCH($E299,""Demon""),""Demon "","""")&amp;IF(REGEXMATCH($E299,""Divine""),""Divine "","""")&amp;IF(REGEXMAT"&amp;"CH($E299,""Elemental""),""Elemental "","""")&amp;IF(REGEXMATCH($E299,""Nature""),""Nature "","""")&amp;IF(REGEXMATCH($E299,""Mortal""),""Mortal "","""")&amp;IF(REGEXMATCH($E299,""Void""),""Void "","""")&amp;IF(REGEXMATCH($E299,""Unearth|Ambush|Ritual|unearth|ambush|ritua"&amp;"l""),""Unearth "","""")&amp;IF(REGEXMATCH($E299,""Unleash|Crystallize|all realms|Crystalborn|crystallize""),""Ramp "","""")&amp;IF(REGEXMATCH($E299,""Demon""),""Demon "","""")&amp;IF(REGEXMATCH($E299,""bury|buries|Bury|Buries|Cleanse|puts a Unit|trail|Trail""),""Cont"&amp;"rol "","""")&amp;IF(REGEXMATCH($E299,""Bounce|Return|Copy|bounce|return|copy""),""Copy "","""")&amp;IF(REGEXMATCH($E299,""conquer|Conquer|leading in lanes|lead by""),""Aggro "","""")&amp;IF(REGEXMATCH($E299,""Ascend|ascend""),""Ascend "","""")&amp;IF(REGEXMATCH($E299,""B"&amp;"ury .+ Crystal|.*crystal.*bury""),""Empty-Crystal"","""")&amp;IF(REGEXMATCH($E299,""Move|move""),""Move"","""")"),"Unearth ")</f>
        <v>Unearth </v>
      </c>
      <c r="G299" s="20" t="s">
        <v>1256</v>
      </c>
      <c r="H299" s="21">
        <v>4.0</v>
      </c>
      <c r="I299" s="11" t="s">
        <v>1231</v>
      </c>
      <c r="J299" s="21" t="s">
        <v>42</v>
      </c>
      <c r="L299" s="13" t="str">
        <f>IFERROR(__xludf.DUMMYFUNCTION("IF(REGEXMATCH($B299,L$1),$D299,"""")"),"")</f>
        <v/>
      </c>
      <c r="M299" s="13" t="str">
        <f>IFERROR(__xludf.DUMMYFUNCTION("IF(REGEXMATCH($B299,M$1),$D299,"""")"),"")</f>
        <v/>
      </c>
      <c r="N299" s="13" t="str">
        <f>IFERROR(__xludf.DUMMYFUNCTION("IF(REGEXMATCH($B299,N$1),$D299,"""")"),"Animal Demon")</f>
        <v>Animal Demon</v>
      </c>
      <c r="O299" s="13" t="str">
        <f>IFERROR(__xludf.DUMMYFUNCTION("IF(REGEXMATCH($B299,O$1),$D299,"""")"),"")</f>
        <v/>
      </c>
      <c r="P299" s="13" t="str">
        <f>IFERROR(__xludf.DUMMYFUNCTION("IF(REGEXMATCH($B299,P$1),$D299,"""")"),"")</f>
        <v/>
      </c>
      <c r="Q299" s="13">
        <f>IFERROR(__xludf.DUMMYFUNCTION("IF($A299="""","""",LEN(REGEXREPLACE($I299,"",\s?"","""")))"),4.0)</f>
        <v>4</v>
      </c>
      <c r="S299" s="13"/>
      <c r="T299" s="13"/>
      <c r="U299" s="13"/>
      <c r="V299" s="13"/>
      <c r="W299" s="13"/>
      <c r="X299" s="13"/>
      <c r="Y299" s="13"/>
      <c r="Z299" s="13"/>
      <c r="AA299" s="13"/>
      <c r="AB299" s="13"/>
    </row>
    <row r="300">
      <c r="A300" s="29" t="s">
        <v>1257</v>
      </c>
      <c r="B300" s="10" t="s">
        <v>13</v>
      </c>
      <c r="C300" s="11">
        <v>1.0</v>
      </c>
      <c r="D300" s="11" t="s">
        <v>203</v>
      </c>
      <c r="E300" s="10" t="s">
        <v>1258</v>
      </c>
      <c r="F300" s="10" t="str">
        <f>IFERROR(__xludf.DUMMYFUNCTION("IF(REGEXMATCH($E300,""Wizard""),""Wizard "","""")&amp;IF(REGEXMATCH($E300,""Construct""),""Construct "","""")&amp;IF(REGEXMATCH($E300,""Insect""),""Insect "","""")&amp;IF(REGEXMATCH($E300,""Dragon""),""Dragon "","""")&amp;IF(REGEXMATCH($E300,""Human""),""Human "","""")&amp;I"&amp;"F(REGEXMATCH($E300,""Hunter""),""Hunter "","""")&amp;IF(REGEXMATCH($E300,""Animal""),""Animal "","""")&amp;IF(REGEXMATCH($E300,""Undead""),""Undead "","""")&amp;IF(REGEXMATCH($E300,""Plant""),""Plant "","""")&amp;IF(REGEXMATCH($E300,""Dinosaur""),""Dinosaur "","""")&amp;IF(R"&amp;"EGEXMATCH($E300,""Warrior""),""Warrior "","""")&amp;IF(REGEXMATCH($E300,""Spirit""),""Spirit "","""")&amp;IF(REGEXMATCH($E300,""Angel""),""Angel "","""")&amp;IF(REGEXMATCH($E300,""Demon""),""Demon "","""")&amp;IF(REGEXMATCH($E300,""Divine""),""Divine "","""")&amp;IF(REGEXMAT"&amp;"CH($E300,""Elemental""),""Elemental "","""")&amp;IF(REGEXMATCH($E300,""Nature""),""Nature "","""")&amp;IF(REGEXMATCH($E300,""Mortal""),""Mortal "","""")&amp;IF(REGEXMATCH($E300,""Void""),""Void "","""")&amp;IF(REGEXMATCH($E300,""Unearth|Ambush|Ritual|unearth|ambush|ritua"&amp;"l""),""Unearth "","""")&amp;IF(REGEXMATCH($E300,""Unleash|Crystallize|all realms|Crystalborn|crystallize""),""Ramp "","""")&amp;IF(REGEXMATCH($E300,""Demon""),""Demon "","""")&amp;IF(REGEXMATCH($E300,""bury|buries|Bury|Buries|Cleanse|puts a Unit|trail|Trail""),""Cont"&amp;"rol "","""")&amp;IF(REGEXMATCH($E300,""Bounce|Return|Copy|bounce|return|copy""),""Copy "","""")&amp;IF(REGEXMATCH($E300,""conquer|Conquer|leading in lanes|lead by""),""Aggro "","""")&amp;IF(REGEXMATCH($E300,""Ascend|ascend""),""Ascend "","""")&amp;IF(REGEXMATCH($E300,""B"&amp;"ury .+ Crystal|.*crystal.*bury""),""Empty-Crystal"","""")&amp;IF(REGEXMATCH($E300,""Move|move""),""Move"","""")"),"Control ")</f>
        <v>Control </v>
      </c>
      <c r="G300" s="12" t="s">
        <v>1259</v>
      </c>
      <c r="H300" s="11">
        <v>1.0</v>
      </c>
      <c r="I300" s="11" t="s">
        <v>1165</v>
      </c>
      <c r="J300" s="21" t="s">
        <v>50</v>
      </c>
      <c r="L300" s="13" t="str">
        <f>IFERROR(__xludf.DUMMYFUNCTION("IF(REGEXMATCH($B300,L$1),$D300,"""")"),"")</f>
        <v/>
      </c>
      <c r="M300" s="13" t="str">
        <f>IFERROR(__xludf.DUMMYFUNCTION("IF(REGEXMATCH($B300,M$1),$D300,"""")"),"")</f>
        <v/>
      </c>
      <c r="N300" s="13" t="str">
        <f>IFERROR(__xludf.DUMMYFUNCTION("IF(REGEXMATCH($B300,N$1),$D300,"""")"),"Animal Undead")</f>
        <v>Animal Undead</v>
      </c>
      <c r="O300" s="13" t="str">
        <f>IFERROR(__xludf.DUMMYFUNCTION("IF(REGEXMATCH($B300,O$1),$D300,"""")"),"")</f>
        <v/>
      </c>
      <c r="P300" s="13" t="str">
        <f>IFERROR(__xludf.DUMMYFUNCTION("IF(REGEXMATCH($B300,P$1),$D300,"""")"),"")</f>
        <v/>
      </c>
      <c r="Q300" s="13">
        <f>IFERROR(__xludf.DUMMYFUNCTION("IF($A300="""","""",LEN(REGEXREPLACE($I300,"",\s?"","""")))"),3.0)</f>
        <v>3</v>
      </c>
      <c r="S300" s="13"/>
      <c r="T300" s="13"/>
      <c r="U300" s="13"/>
      <c r="V300" s="13"/>
      <c r="W300" s="13"/>
      <c r="X300" s="13"/>
      <c r="Y300" s="13"/>
      <c r="Z300" s="13"/>
      <c r="AA300" s="13"/>
      <c r="AB300" s="13"/>
    </row>
    <row r="301">
      <c r="A301" s="13" t="s">
        <v>1260</v>
      </c>
      <c r="B301" s="10" t="s">
        <v>13</v>
      </c>
      <c r="C301" s="11">
        <v>1.0</v>
      </c>
      <c r="D301" s="11" t="s">
        <v>107</v>
      </c>
      <c r="E301" s="10" t="s">
        <v>1261</v>
      </c>
      <c r="F301" s="10" t="str">
        <f>IFERROR(__xludf.DUMMYFUNCTION("IF(REGEXMATCH($E301,""Wizard""),""Wizard "","""")&amp;IF(REGEXMATCH($E301,""Construct""),""Construct "","""")&amp;IF(REGEXMATCH($E301,""Insect""),""Insect "","""")&amp;IF(REGEXMATCH($E301,""Dragon""),""Dragon "","""")&amp;IF(REGEXMATCH($E301,""Human""),""Human "","""")&amp;I"&amp;"F(REGEXMATCH($E301,""Hunter""),""Hunter "","""")&amp;IF(REGEXMATCH($E301,""Animal""),""Animal "","""")&amp;IF(REGEXMATCH($E301,""Undead""),""Undead "","""")&amp;IF(REGEXMATCH($E301,""Plant""),""Plant "","""")&amp;IF(REGEXMATCH($E301,""Dinosaur""),""Dinosaur "","""")&amp;IF(R"&amp;"EGEXMATCH($E301,""Warrior""),""Warrior "","""")&amp;IF(REGEXMATCH($E301,""Spirit""),""Spirit "","""")&amp;IF(REGEXMATCH($E301,""Angel""),""Angel "","""")&amp;IF(REGEXMATCH($E301,""Demon""),""Demon "","""")&amp;IF(REGEXMATCH($E301,""Divine""),""Divine "","""")&amp;IF(REGEXMAT"&amp;"CH($E301,""Elemental""),""Elemental "","""")&amp;IF(REGEXMATCH($E301,""Nature""),""Nature "","""")&amp;IF(REGEXMATCH($E301,""Mortal""),""Mortal "","""")&amp;IF(REGEXMATCH($E301,""Void""),""Void "","""")&amp;IF(REGEXMATCH($E301,""Unearth|Ambush|Ritual|unearth|ambush|ritua"&amp;"l""),""Unearth "","""")&amp;IF(REGEXMATCH($E301,""Unleash|Crystallize|all realms|Crystalborn|crystallize""),""Ramp "","""")&amp;IF(REGEXMATCH($E301,""Demon""),""Demon "","""")&amp;IF(REGEXMATCH($E301,""bury|buries|Bury|Buries|Cleanse|puts a Unit|trail|Trail""),""Cont"&amp;"rol "","""")&amp;IF(REGEXMATCH($E301,""Bounce|Return|Copy|bounce|return|copy""),""Copy "","""")&amp;IF(REGEXMATCH($E301,""conquer|Conquer|leading in lanes|lead by""),""Aggro "","""")&amp;IF(REGEXMATCH($E301,""Ascend|ascend""),""Ascend "","""")&amp;IF(REGEXMATCH($E301,""B"&amp;"ury .+ Crystal|.*crystal.*bury""),""Empty-Crystal"","""")&amp;IF(REGEXMATCH($E301,""Move|move""),""Move"","""")"),"")</f>
        <v/>
      </c>
      <c r="G301" s="12" t="s">
        <v>1262</v>
      </c>
      <c r="H301" s="11">
        <v>0.0</v>
      </c>
      <c r="I301" s="11" t="s">
        <v>1165</v>
      </c>
      <c r="J301" s="11" t="s">
        <v>42</v>
      </c>
      <c r="L301" s="13" t="str">
        <f>IFERROR(__xludf.DUMMYFUNCTION("IF(REGEXMATCH($B301,L$1),$D301,"""")"),"")</f>
        <v/>
      </c>
      <c r="M301" s="13" t="str">
        <f>IFERROR(__xludf.DUMMYFUNCTION("IF(REGEXMATCH($B301,M$1),$D301,"""")"),"")</f>
        <v/>
      </c>
      <c r="N301" s="13" t="str">
        <f>IFERROR(__xludf.DUMMYFUNCTION("IF(REGEXMATCH($B301,N$1),$D301,"""")"),"Construct Demon")</f>
        <v>Construct Demon</v>
      </c>
      <c r="O301" s="13" t="str">
        <f>IFERROR(__xludf.DUMMYFUNCTION("IF(REGEXMATCH($B301,O$1),$D301,"""")"),"")</f>
        <v/>
      </c>
      <c r="P301" s="13" t="str">
        <f>IFERROR(__xludf.DUMMYFUNCTION("IF(REGEXMATCH($B301,P$1),$D301,"""")"),"")</f>
        <v/>
      </c>
      <c r="Q301" s="13">
        <f>IFERROR(__xludf.DUMMYFUNCTION("IF($A301="""","""",LEN(REGEXREPLACE($I301,"",\s?"","""")))"),3.0)</f>
        <v>3</v>
      </c>
      <c r="S301" s="13"/>
      <c r="T301" s="13"/>
      <c r="U301" s="13"/>
      <c r="V301" s="13"/>
      <c r="W301" s="13"/>
      <c r="X301" s="13"/>
      <c r="Y301" s="13"/>
      <c r="Z301" s="13"/>
      <c r="AA301" s="13"/>
      <c r="AB301" s="13"/>
    </row>
    <row r="302">
      <c r="A302" s="29" t="s">
        <v>1263</v>
      </c>
      <c r="B302" s="10" t="s">
        <v>13</v>
      </c>
      <c r="C302" s="11">
        <v>1.0</v>
      </c>
      <c r="D302" s="11" t="s">
        <v>176</v>
      </c>
      <c r="F302" s="10" t="str">
        <f>IFERROR(__xludf.DUMMYFUNCTION("IF(REGEXMATCH($E302,""Wizard""),""Wizard "","""")&amp;IF(REGEXMATCH($E302,""Construct""),""Construct "","""")&amp;IF(REGEXMATCH($E302,""Insect""),""Insect "","""")&amp;IF(REGEXMATCH($E302,""Dragon""),""Dragon "","""")&amp;IF(REGEXMATCH($E302,""Human""),""Human "","""")&amp;I"&amp;"F(REGEXMATCH($E302,""Hunter""),""Hunter "","""")&amp;IF(REGEXMATCH($E302,""Animal""),""Animal "","""")&amp;IF(REGEXMATCH($E302,""Undead""),""Undead "","""")&amp;IF(REGEXMATCH($E302,""Plant""),""Plant "","""")&amp;IF(REGEXMATCH($E302,""Dinosaur""),""Dinosaur "","""")&amp;IF(R"&amp;"EGEXMATCH($E302,""Warrior""),""Warrior "","""")&amp;IF(REGEXMATCH($E302,""Spirit""),""Spirit "","""")&amp;IF(REGEXMATCH($E302,""Angel""),""Angel "","""")&amp;IF(REGEXMATCH($E302,""Demon""),""Demon "","""")&amp;IF(REGEXMATCH($E302,""Divine""),""Divine "","""")&amp;IF(REGEXMAT"&amp;"CH($E302,""Elemental""),""Elemental "","""")&amp;IF(REGEXMATCH($E302,""Nature""),""Nature "","""")&amp;IF(REGEXMATCH($E302,""Mortal""),""Mortal "","""")&amp;IF(REGEXMATCH($E302,""Void""),""Void "","""")&amp;IF(REGEXMATCH($E302,""Unearth|Ambush|Ritual|unearth|ambush|ritua"&amp;"l""),""Unearth "","""")&amp;IF(REGEXMATCH($E302,""Unleash|Crystallize|all realms|Crystalborn|crystallize""),""Ramp "","""")&amp;IF(REGEXMATCH($E302,""Demon""),""Demon "","""")&amp;IF(REGEXMATCH($E302,""bury|buries|Bury|Buries|Cleanse|puts a Unit|trail|Trail""),""Cont"&amp;"rol "","""")&amp;IF(REGEXMATCH($E302,""Bounce|Return|Copy|bounce|return|copy""),""Copy "","""")&amp;IF(REGEXMATCH($E302,""conquer|Conquer|leading in lanes|lead by""),""Aggro "","""")&amp;IF(REGEXMATCH($E302,""Ascend|ascend""),""Ascend "","""")&amp;IF(REGEXMATCH($E302,""B"&amp;"ury .+ Crystal|.*crystal.*bury""),""Empty-Crystal"","""")&amp;IF(REGEXMATCH($E302,""Move|move""),""Move"","""")"),"")</f>
        <v/>
      </c>
      <c r="G302" s="12" t="s">
        <v>1264</v>
      </c>
      <c r="H302" s="21">
        <v>3.0</v>
      </c>
      <c r="I302" s="11" t="s">
        <v>1136</v>
      </c>
      <c r="J302" s="21" t="s">
        <v>50</v>
      </c>
      <c r="L302" s="13" t="str">
        <f>IFERROR(__xludf.DUMMYFUNCTION("IF(REGEXMATCH($B302,L$1),$D302,"""")"),"")</f>
        <v/>
      </c>
      <c r="M302" s="13" t="str">
        <f>IFERROR(__xludf.DUMMYFUNCTION("IF(REGEXMATCH($B302,M$1),$D302,"""")"),"")</f>
        <v/>
      </c>
      <c r="N302" s="13" t="str">
        <f>IFERROR(__xludf.DUMMYFUNCTION("IF(REGEXMATCH($B302,N$1),$D302,"""")"),"Construct Insect")</f>
        <v>Construct Insect</v>
      </c>
      <c r="O302" s="13" t="str">
        <f>IFERROR(__xludf.DUMMYFUNCTION("IF(REGEXMATCH($B302,O$1),$D302,"""")"),"")</f>
        <v/>
      </c>
      <c r="P302" s="13" t="str">
        <f>IFERROR(__xludf.DUMMYFUNCTION("IF(REGEXMATCH($B302,P$1),$D302,"""")"),"")</f>
        <v/>
      </c>
      <c r="Q302" s="13">
        <f>IFERROR(__xludf.DUMMYFUNCTION("IF($A302="""","""",LEN(REGEXREPLACE($I302,"",\s?"","""")))"),1.0)</f>
        <v>1</v>
      </c>
      <c r="S302" s="13"/>
      <c r="T302" s="13"/>
      <c r="U302" s="13"/>
      <c r="V302" s="13"/>
      <c r="W302" s="13"/>
      <c r="X302" s="13"/>
      <c r="Y302" s="13"/>
      <c r="Z302" s="13"/>
      <c r="AA302" s="13"/>
      <c r="AB302" s="13"/>
    </row>
    <row r="303" hidden="1">
      <c r="A303" s="31" t="s">
        <v>1265</v>
      </c>
      <c r="B303" s="84" t="s">
        <v>13</v>
      </c>
      <c r="C303" s="18">
        <v>2.0</v>
      </c>
      <c r="D303" s="18" t="s">
        <v>1004</v>
      </c>
      <c r="E303" s="19" t="s">
        <v>181</v>
      </c>
      <c r="F303" s="10" t="str">
        <f>IFERROR(__xludf.DUMMYFUNCTION("IF(REGEXMATCH($E303,""Wizard""),""Wizard "","""")&amp;IF(REGEXMATCH($E303,""Construct""),""Construct "","""")&amp;IF(REGEXMATCH($E303,""Insect""),""Insect "","""")&amp;IF(REGEXMATCH($E303,""Dragon""),""Dragon "","""")&amp;IF(REGEXMATCH($E303,""Human""),""Human "","""")&amp;I"&amp;"F(REGEXMATCH($E303,""Hunter""),""Hunter "","""")&amp;IF(REGEXMATCH($E303,""Animal""),""Animal "","""")&amp;IF(REGEXMATCH($E303,""Undead""),""Undead "","""")&amp;IF(REGEXMATCH($E303,""Plant""),""Plant "","""")&amp;IF(REGEXMATCH($E303,""Dinosaur""),""Dinosaur "","""")&amp;IF(R"&amp;"EGEXMATCH($E303,""Warrior""),""Warrior "","""")&amp;IF(REGEXMATCH($E303,""Spirit""),""Spirit "","""")&amp;IF(REGEXMATCH($E303,""Angel""),""Angel "","""")&amp;IF(REGEXMATCH($E303,""Demon""),""Demon "","""")&amp;IF(REGEXMATCH($E303,""Divine""),""Divine "","""")&amp;IF(REGEXMAT"&amp;"CH($E303,""Elemental""),""Elemental "","""")&amp;IF(REGEXMATCH($E303,""Nature""),""Nature "","""")&amp;IF(REGEXMATCH($E303,""Mortal""),""Mortal "","""")&amp;IF(REGEXMATCH($E303,""Void""),""Void "","""")&amp;IF(REGEXMATCH($E303,""Unearth|Ambush|Ritual|unearth|ambush|ritua"&amp;"l""),""Unearth "","""")&amp;IF(REGEXMATCH($E303,""Unleash|Crystallize|all realms|Crystalborn|crystallize""),""Ramp "","""")&amp;IF(REGEXMATCH($E303,""Demon""),""Demon "","""")&amp;IF(REGEXMATCH($E303,""bury|buries|Bury|Buries|Cleanse|puts a Unit|trail|Trail""),""Cont"&amp;"rol "","""")&amp;IF(REGEXMATCH($E303,""Bounce|Return|Copy|bounce|return|copy""),""Copy "","""")&amp;IF(REGEXMATCH($E303,""conquer|Conquer|leading in lanes|lead by""),""Aggro "","""")&amp;IF(REGEXMATCH($E303,""Ascend|ascend""),""Ascend "","""")&amp;IF(REGEXMATCH($E303,""B"&amp;"ury .+ Crystal|.*crystal.*bury""),""Empty-Crystal"","""")&amp;IF(REGEXMATCH($E303,""Move|move""),""Move"","""")"),"")</f>
        <v/>
      </c>
      <c r="G303" s="20" t="s">
        <v>1266</v>
      </c>
      <c r="H303" s="18">
        <v>2.0</v>
      </c>
      <c r="I303" s="18" t="s">
        <v>1169</v>
      </c>
      <c r="J303" s="18" t="s">
        <v>42</v>
      </c>
      <c r="L303" s="13" t="str">
        <f>IFERROR(__xludf.DUMMYFUNCTION("IF(REGEXMATCH($B303,L$1),$D303,"""")"),"")</f>
        <v/>
      </c>
      <c r="M303" s="13" t="str">
        <f>IFERROR(__xludf.DUMMYFUNCTION("IF(REGEXMATCH($B303,M$1),$D303,"""")"),"")</f>
        <v/>
      </c>
      <c r="N303" s="13" t="str">
        <f>IFERROR(__xludf.DUMMYFUNCTION("IF(REGEXMATCH($B303,N$1),$D303,"""")"),"Crusader Warrior")</f>
        <v>Crusader Warrior</v>
      </c>
      <c r="O303" s="13" t="str">
        <f>IFERROR(__xludf.DUMMYFUNCTION("IF(REGEXMATCH($B303,O$1),$D303,"""")"),"")</f>
        <v/>
      </c>
      <c r="P303" s="13" t="str">
        <f>IFERROR(__xludf.DUMMYFUNCTION("IF(REGEXMATCH($B303,P$1),$D303,"""")"),"")</f>
        <v/>
      </c>
      <c r="Q303" s="13">
        <f>IFERROR(__xludf.DUMMYFUNCTION("IF($A303="""","""",LEN(REGEXREPLACE($I303,"",\s?"","""")))"),2.0)</f>
        <v>2</v>
      </c>
      <c r="S303" s="13"/>
      <c r="T303" s="13"/>
      <c r="U303" s="13"/>
      <c r="V303" s="13"/>
      <c r="W303" s="13"/>
      <c r="X303" s="13"/>
      <c r="Y303" s="13"/>
      <c r="Z303" s="13"/>
      <c r="AA303" s="13"/>
      <c r="AB303" s="13"/>
    </row>
    <row r="304">
      <c r="A304" s="29" t="s">
        <v>1267</v>
      </c>
      <c r="B304" s="10" t="s">
        <v>13</v>
      </c>
      <c r="C304" s="11">
        <v>1.0</v>
      </c>
      <c r="D304" s="21" t="s">
        <v>1162</v>
      </c>
      <c r="E304" s="10" t="s">
        <v>1268</v>
      </c>
      <c r="F304" s="10" t="str">
        <f>IFERROR(__xludf.DUMMYFUNCTION("IF(REGEXMATCH($E304,""Wizard""),""Wizard "","""")&amp;IF(REGEXMATCH($E304,""Construct""),""Construct "","""")&amp;IF(REGEXMATCH($E304,""Insect""),""Insect "","""")&amp;IF(REGEXMATCH($E304,""Dragon""),""Dragon "","""")&amp;IF(REGEXMATCH($E304,""Human""),""Human "","""")&amp;I"&amp;"F(REGEXMATCH($E304,""Hunter""),""Hunter "","""")&amp;IF(REGEXMATCH($E304,""Animal""),""Animal "","""")&amp;IF(REGEXMATCH($E304,""Undead""),""Undead "","""")&amp;IF(REGEXMATCH($E304,""Plant""),""Plant "","""")&amp;IF(REGEXMATCH($E304,""Dinosaur""),""Dinosaur "","""")&amp;IF(R"&amp;"EGEXMATCH($E304,""Warrior""),""Warrior "","""")&amp;IF(REGEXMATCH($E304,""Spirit""),""Spirit "","""")&amp;IF(REGEXMATCH($E304,""Angel""),""Angel "","""")&amp;IF(REGEXMATCH($E304,""Demon""),""Demon "","""")&amp;IF(REGEXMATCH($E304,""Divine""),""Divine "","""")&amp;IF(REGEXMAT"&amp;"CH($E304,""Elemental""),""Elemental "","""")&amp;IF(REGEXMATCH($E304,""Nature""),""Nature "","""")&amp;IF(REGEXMATCH($E304,""Mortal""),""Mortal "","""")&amp;IF(REGEXMATCH($E304,""Void""),""Void "","""")&amp;IF(REGEXMATCH($E304,""Unearth|Ambush|Ritual|unearth|ambush|ritua"&amp;"l""),""Unearth "","""")&amp;IF(REGEXMATCH($E304,""Unleash|Crystallize|all realms|Crystalborn|crystallize""),""Ramp "","""")&amp;IF(REGEXMATCH($E304,""Demon""),""Demon "","""")&amp;IF(REGEXMATCH($E304,""bury|buries|Bury|Buries|Cleanse|puts a Unit|trail|Trail""),""Cont"&amp;"rol "","""")&amp;IF(REGEXMATCH($E304,""Bounce|Return|Copy|bounce|return|copy""),""Copy "","""")&amp;IF(REGEXMATCH($E304,""conquer|Conquer|leading in lanes|lead by""),""Aggro "","""")&amp;IF(REGEXMATCH($E304,""Ascend|ascend""),""Ascend "","""")&amp;IF(REGEXMATCH($E304,""B"&amp;"ury .+ Crystal|.*crystal.*bury""),""Empty-Crystal"","""")&amp;IF(REGEXMATCH($E304,""Move|move""),""Move"","""")"),"Void Unearth ")</f>
        <v>Void Unearth </v>
      </c>
      <c r="G304" s="20" t="s">
        <v>1269</v>
      </c>
      <c r="H304" s="11">
        <v>2.0</v>
      </c>
      <c r="I304" s="11" t="s">
        <v>1169</v>
      </c>
      <c r="J304" s="18" t="s">
        <v>42</v>
      </c>
      <c r="L304" s="13" t="str">
        <f>IFERROR(__xludf.DUMMYFUNCTION("IF(REGEXMATCH($B304,L$1),$D304,"""")"),"")</f>
        <v/>
      </c>
      <c r="M304" s="13" t="str">
        <f>IFERROR(__xludf.DUMMYFUNCTION("IF(REGEXMATCH($B304,M$1),$D304,"""")"),"")</f>
        <v/>
      </c>
      <c r="N304" s="13" t="str">
        <f>IFERROR(__xludf.DUMMYFUNCTION("IF(REGEXMATCH($B304,N$1),$D304,"""")"),"Demon")</f>
        <v>Demon</v>
      </c>
      <c r="O304" s="13" t="str">
        <f>IFERROR(__xludf.DUMMYFUNCTION("IF(REGEXMATCH($B304,O$1),$D304,"""")"),"")</f>
        <v/>
      </c>
      <c r="P304" s="13" t="str">
        <f>IFERROR(__xludf.DUMMYFUNCTION("IF(REGEXMATCH($B304,P$1),$D304,"""")"),"")</f>
        <v/>
      </c>
      <c r="Q304" s="13">
        <f>IFERROR(__xludf.DUMMYFUNCTION("IF($A304="""","""",LEN(REGEXREPLACE($I304,"",\s?"","""")))"),2.0)</f>
        <v>2</v>
      </c>
      <c r="S304" s="13"/>
      <c r="T304" s="13"/>
      <c r="U304" s="13"/>
      <c r="V304" s="13"/>
      <c r="W304" s="13"/>
      <c r="X304" s="13"/>
      <c r="Y304" s="13"/>
      <c r="Z304" s="13"/>
      <c r="AA304" s="13"/>
      <c r="AB304" s="13"/>
    </row>
    <row r="305" hidden="1">
      <c r="A305" s="22" t="s">
        <v>1270</v>
      </c>
      <c r="B305" s="83" t="s">
        <v>13</v>
      </c>
      <c r="C305" s="18">
        <v>2.0</v>
      </c>
      <c r="D305" s="11" t="s">
        <v>203</v>
      </c>
      <c r="E305" s="45" t="s">
        <v>1271</v>
      </c>
      <c r="F305" s="10" t="str">
        <f>IFERROR(__xludf.DUMMYFUNCTION("IF(REGEXMATCH($E305,""Wizard""),""Wizard "","""")&amp;IF(REGEXMATCH($E305,""Construct""),""Construct "","""")&amp;IF(REGEXMATCH($E305,""Insect""),""Insect "","""")&amp;IF(REGEXMATCH($E305,""Dragon""),""Dragon "","""")&amp;IF(REGEXMATCH($E305,""Human""),""Human "","""")&amp;I"&amp;"F(REGEXMATCH($E305,""Hunter""),""Hunter "","""")&amp;IF(REGEXMATCH($E305,""Animal""),""Animal "","""")&amp;IF(REGEXMATCH($E305,""Undead""),""Undead "","""")&amp;IF(REGEXMATCH($E305,""Plant""),""Plant "","""")&amp;IF(REGEXMATCH($E305,""Dinosaur""),""Dinosaur "","""")&amp;IF(R"&amp;"EGEXMATCH($E305,""Warrior""),""Warrior "","""")&amp;IF(REGEXMATCH($E305,""Spirit""),""Spirit "","""")&amp;IF(REGEXMATCH($E305,""Angel""),""Angel "","""")&amp;IF(REGEXMATCH($E305,""Demon""),""Demon "","""")&amp;IF(REGEXMATCH($E305,""Divine""),""Divine "","""")&amp;IF(REGEXMAT"&amp;"CH($E305,""Elemental""),""Elemental "","""")&amp;IF(REGEXMATCH($E305,""Nature""),""Nature "","""")&amp;IF(REGEXMATCH($E305,""Mortal""),""Mortal "","""")&amp;IF(REGEXMATCH($E305,""Void""),""Void "","""")&amp;IF(REGEXMATCH($E305,""Unearth|Ambush|Ritual|unearth|ambush|ritua"&amp;"l""),""Unearth "","""")&amp;IF(REGEXMATCH($E305,""Unleash|Crystallize|all realms|Crystalborn|crystallize""),""Ramp "","""")&amp;IF(REGEXMATCH($E305,""Demon""),""Demon "","""")&amp;IF(REGEXMATCH($E305,""bury|buries|Bury|Buries|Cleanse|puts a Unit|trail|Trail""),""Cont"&amp;"rol "","""")&amp;IF(REGEXMATCH($E305,""Bounce|Return|Copy|bounce|return|copy""),""Copy "","""")&amp;IF(REGEXMATCH($E305,""conquer|Conquer|leading in lanes|lead by""),""Aggro "","""")&amp;IF(REGEXMATCH($E305,""Ascend|ascend""),""Ascend "","""")&amp;IF(REGEXMATCH($E305,""B"&amp;"ury .+ Crystal|.*crystal.*bury""),""Empty-Crystal"","""")&amp;IF(REGEXMATCH($E305,""Move|move""),""Move"","""")"),"Unearth Control ")</f>
        <v>Unearth Control </v>
      </c>
      <c r="G305" s="12" t="s">
        <v>1272</v>
      </c>
      <c r="H305" s="11">
        <v>2.0</v>
      </c>
      <c r="I305" s="11" t="s">
        <v>1169</v>
      </c>
      <c r="J305" s="11" t="s">
        <v>42</v>
      </c>
      <c r="L305" s="13" t="str">
        <f>IFERROR(__xludf.DUMMYFUNCTION("IF(REGEXMATCH($B305,L$1),$D305,"""")"),"")</f>
        <v/>
      </c>
      <c r="M305" s="13" t="str">
        <f>IFERROR(__xludf.DUMMYFUNCTION("IF(REGEXMATCH($B305,M$1),$D305,"""")"),"")</f>
        <v/>
      </c>
      <c r="N305" s="13" t="str">
        <f>IFERROR(__xludf.DUMMYFUNCTION("IF(REGEXMATCH($B305,N$1),$D305,"""")"),"Animal Undead")</f>
        <v>Animal Undead</v>
      </c>
      <c r="O305" s="13" t="str">
        <f>IFERROR(__xludf.DUMMYFUNCTION("IF(REGEXMATCH($B305,O$1),$D305,"""")"),"")</f>
        <v/>
      </c>
      <c r="P305" s="13" t="str">
        <f>IFERROR(__xludf.DUMMYFUNCTION("IF(REGEXMATCH($B305,P$1),$D305,"""")"),"")</f>
        <v/>
      </c>
      <c r="Q305" s="13">
        <f>IFERROR(__xludf.DUMMYFUNCTION("IF($A305="""","""",LEN(REGEXREPLACE($I305,"",\s?"","""")))"),2.0)</f>
        <v>2</v>
      </c>
      <c r="S305" s="13"/>
      <c r="T305" s="13"/>
      <c r="U305" s="13"/>
      <c r="V305" s="13"/>
      <c r="W305" s="13"/>
      <c r="X305" s="13"/>
      <c r="Y305" s="13"/>
      <c r="Z305" s="13"/>
      <c r="AA305" s="13"/>
      <c r="AB305" s="13"/>
    </row>
    <row r="306" hidden="1">
      <c r="A306" s="19" t="s">
        <v>1273</v>
      </c>
      <c r="B306" s="84" t="s">
        <v>13</v>
      </c>
      <c r="C306" s="18">
        <v>2.0</v>
      </c>
      <c r="D306" s="18" t="s">
        <v>1274</v>
      </c>
      <c r="E306" s="19" t="s">
        <v>1275</v>
      </c>
      <c r="F306" s="10" t="str">
        <f>IFERROR(__xludf.DUMMYFUNCTION("IF(REGEXMATCH($E306,""Wizard""),""Wizard "","""")&amp;IF(REGEXMATCH($E306,""Construct""),""Construct "","""")&amp;IF(REGEXMATCH($E306,""Insect""),""Insect "","""")&amp;IF(REGEXMATCH($E306,""Dragon""),""Dragon "","""")&amp;IF(REGEXMATCH($E306,""Human""),""Human "","""")&amp;I"&amp;"F(REGEXMATCH($E306,""Hunter""),""Hunter "","""")&amp;IF(REGEXMATCH($E306,""Animal""),""Animal "","""")&amp;IF(REGEXMATCH($E306,""Undead""),""Undead "","""")&amp;IF(REGEXMATCH($E306,""Plant""),""Plant "","""")&amp;IF(REGEXMATCH($E306,""Dinosaur""),""Dinosaur "","""")&amp;IF(R"&amp;"EGEXMATCH($E306,""Warrior""),""Warrior "","""")&amp;IF(REGEXMATCH($E306,""Spirit""),""Spirit "","""")&amp;IF(REGEXMATCH($E306,""Angel""),""Angel "","""")&amp;IF(REGEXMATCH($E306,""Demon""),""Demon "","""")&amp;IF(REGEXMATCH($E306,""Divine""),""Divine "","""")&amp;IF(REGEXMAT"&amp;"CH($E306,""Elemental""),""Elemental "","""")&amp;IF(REGEXMATCH($E306,""Nature""),""Nature "","""")&amp;IF(REGEXMATCH($E306,""Mortal""),""Mortal "","""")&amp;IF(REGEXMATCH($E306,""Void""),""Void "","""")&amp;IF(REGEXMATCH($E306,""Unearth|Ambush|Ritual|unearth|ambush|ritua"&amp;"l""),""Unearth "","""")&amp;IF(REGEXMATCH($E306,""Unleash|Crystallize|all realms|Crystalborn|crystallize""),""Ramp "","""")&amp;IF(REGEXMATCH($E306,""Demon""),""Demon "","""")&amp;IF(REGEXMATCH($E306,""bury|buries|Bury|Buries|Cleanse|puts a Unit|trail|Trail""),""Cont"&amp;"rol "","""")&amp;IF(REGEXMATCH($E306,""Bounce|Return|Copy|bounce|return|copy""),""Copy "","""")&amp;IF(REGEXMATCH($E306,""conquer|Conquer|leading in lanes|lead by""),""Aggro "","""")&amp;IF(REGEXMATCH($E306,""Ascend|ascend""),""Ascend "","""")&amp;IF(REGEXMATCH($E306,""B"&amp;"ury .+ Crystal|.*crystal.*bury""),""Empty-Crystal"","""")&amp;IF(REGEXMATCH($E306,""Move|move""),""Move"","""")"),"Unearth Control ")</f>
        <v>Unearth Control </v>
      </c>
      <c r="G306" s="20" t="s">
        <v>1276</v>
      </c>
      <c r="H306" s="18">
        <v>3.0</v>
      </c>
      <c r="I306" s="18" t="s">
        <v>1277</v>
      </c>
      <c r="J306" s="18" t="s">
        <v>42</v>
      </c>
      <c r="L306" s="13" t="str">
        <f>IFERROR(__xludf.DUMMYFUNCTION("IF(REGEXMATCH($B306,L$1),$D306,"""")"),"")</f>
        <v/>
      </c>
      <c r="M306" s="13" t="str">
        <f>IFERROR(__xludf.DUMMYFUNCTION("IF(REGEXMATCH($B306,M$1),$D306,"""")"),"")</f>
        <v/>
      </c>
      <c r="N306" s="13" t="str">
        <f>IFERROR(__xludf.DUMMYFUNCTION("IF(REGEXMATCH($B306,N$1),$D306,"""")"),"Construct Crystalblight Undead")</f>
        <v>Construct Crystalblight Undead</v>
      </c>
      <c r="O306" s="13" t="str">
        <f>IFERROR(__xludf.DUMMYFUNCTION("IF(REGEXMATCH($B306,O$1),$D306,"""")"),"")</f>
        <v/>
      </c>
      <c r="P306" s="13" t="str">
        <f>IFERROR(__xludf.DUMMYFUNCTION("IF(REGEXMATCH($B306,P$1),$D306,"""")"),"")</f>
        <v/>
      </c>
      <c r="Q306" s="13">
        <f>IFERROR(__xludf.DUMMYFUNCTION("IF($A306="""","""",LEN(REGEXREPLACE($I306,"",\s?"","""")))"),4.0)</f>
        <v>4</v>
      </c>
      <c r="S306" s="13"/>
      <c r="T306" s="13"/>
      <c r="U306" s="13"/>
      <c r="V306" s="13"/>
      <c r="W306" s="13"/>
      <c r="X306" s="13"/>
      <c r="Y306" s="13"/>
      <c r="Z306" s="13"/>
      <c r="AA306" s="13"/>
      <c r="AB306" s="13"/>
    </row>
    <row r="307">
      <c r="A307" s="46" t="s">
        <v>1278</v>
      </c>
      <c r="B307" s="49" t="s">
        <v>13</v>
      </c>
      <c r="C307" s="48">
        <v>1.0</v>
      </c>
      <c r="D307" s="48" t="s">
        <v>928</v>
      </c>
      <c r="E307" s="49" t="s">
        <v>1279</v>
      </c>
      <c r="F307" s="10" t="str">
        <f>IFERROR(__xludf.DUMMYFUNCTION("IF(REGEXMATCH($E307,""Wizard""),""Wizard "","""")&amp;IF(REGEXMATCH($E307,""Construct""),""Construct "","""")&amp;IF(REGEXMATCH($E307,""Insect""),""Insect "","""")&amp;IF(REGEXMATCH($E307,""Dragon""),""Dragon "","""")&amp;IF(REGEXMATCH($E307,""Human""),""Human "","""")&amp;I"&amp;"F(REGEXMATCH($E307,""Hunter""),""Hunter "","""")&amp;IF(REGEXMATCH($E307,""Animal""),""Animal "","""")&amp;IF(REGEXMATCH($E307,""Undead""),""Undead "","""")&amp;IF(REGEXMATCH($E307,""Plant""),""Plant "","""")&amp;IF(REGEXMATCH($E307,""Dinosaur""),""Dinosaur "","""")&amp;IF(R"&amp;"EGEXMATCH($E307,""Warrior""),""Warrior "","""")&amp;IF(REGEXMATCH($E307,""Spirit""),""Spirit "","""")&amp;IF(REGEXMATCH($E307,""Angel""),""Angel "","""")&amp;IF(REGEXMATCH($E307,""Demon""),""Demon "","""")&amp;IF(REGEXMATCH($E307,""Divine""),""Divine "","""")&amp;IF(REGEXMAT"&amp;"CH($E307,""Elemental""),""Elemental "","""")&amp;IF(REGEXMATCH($E307,""Nature""),""Nature "","""")&amp;IF(REGEXMATCH($E307,""Mortal""),""Mortal "","""")&amp;IF(REGEXMATCH($E307,""Void""),""Void "","""")&amp;IF(REGEXMATCH($E307,""Unearth|Ambush|Ritual|unearth|ambush|ritua"&amp;"l""),""Unearth "","""")&amp;IF(REGEXMATCH($E307,""Unleash|Crystallize|all realms|Crystalborn|crystallize""),""Ramp "","""")&amp;IF(REGEXMATCH($E307,""Demon""),""Demon "","""")&amp;IF(REGEXMATCH($E307,""bury|buries|Bury|Buries|Cleanse|puts a Unit|trail|Trail""),""Cont"&amp;"rol "","""")&amp;IF(REGEXMATCH($E307,""Bounce|Return|Copy|bounce|return|copy""),""Copy "","""")&amp;IF(REGEXMATCH($E307,""conquer|Conquer|leading in lanes|lead by""),""Aggro "","""")&amp;IF(REGEXMATCH($E307,""Ascend|ascend""),""Ascend "","""")&amp;IF(REGEXMATCH($E307,""B"&amp;"ury .+ Crystal|.*crystal.*bury""),""Empty-Crystal"","""")&amp;IF(REGEXMATCH($E307,""Move|move""),""Move"","""")"),"")</f>
        <v/>
      </c>
      <c r="G307" s="50" t="s">
        <v>1280</v>
      </c>
      <c r="H307" s="48">
        <v>4.0</v>
      </c>
      <c r="I307" s="48" t="s">
        <v>1140</v>
      </c>
      <c r="J307" s="51" t="s">
        <v>42</v>
      </c>
      <c r="L307" s="13" t="str">
        <f>IFERROR(__xludf.DUMMYFUNCTION("IF(REGEXMATCH($B307,L$1),$D307,"""")"),"")</f>
        <v/>
      </c>
      <c r="M307" s="13" t="str">
        <f>IFERROR(__xludf.DUMMYFUNCTION("IF(REGEXMATCH($B307,M$1),$D307,"""")"),"")</f>
        <v/>
      </c>
      <c r="N307" s="13" t="str">
        <f>IFERROR(__xludf.DUMMYFUNCTION("IF(REGEXMATCH($B307,N$1),$D307,"""")"),"Demon Human")</f>
        <v>Demon Human</v>
      </c>
      <c r="O307" s="13" t="str">
        <f>IFERROR(__xludf.DUMMYFUNCTION("IF(REGEXMATCH($B307,O$1),$D307,"""")"),"")</f>
        <v/>
      </c>
      <c r="P307" s="13" t="str">
        <f>IFERROR(__xludf.DUMMYFUNCTION("IF(REGEXMATCH($B307,P$1),$D307,"""")"),"")</f>
        <v/>
      </c>
      <c r="Q307" s="13">
        <f>IFERROR(__xludf.DUMMYFUNCTION("IF($A307="""","""",LEN(REGEXREPLACE($I307,"",\s?"","""")))"),5.0)</f>
        <v>5</v>
      </c>
      <c r="S307" s="13"/>
      <c r="T307" s="13"/>
      <c r="U307" s="13"/>
      <c r="V307" s="13"/>
      <c r="W307" s="13"/>
      <c r="X307" s="13"/>
      <c r="Y307" s="13"/>
      <c r="Z307" s="13"/>
      <c r="AA307" s="13"/>
      <c r="AB307" s="13"/>
    </row>
    <row r="308">
      <c r="A308" s="10" t="s">
        <v>1281</v>
      </c>
      <c r="B308" s="10" t="s">
        <v>13</v>
      </c>
      <c r="C308" s="11">
        <v>1.0</v>
      </c>
      <c r="D308" s="11" t="s">
        <v>1282</v>
      </c>
      <c r="E308" s="10" t="s">
        <v>1283</v>
      </c>
      <c r="F308" s="10" t="str">
        <f>IFERROR(__xludf.DUMMYFUNCTION("IF(REGEXMATCH($E308,""Wizard""),""Wizard "","""")&amp;IF(REGEXMATCH($E308,""Construct""),""Construct "","""")&amp;IF(REGEXMATCH($E308,""Insect""),""Insect "","""")&amp;IF(REGEXMATCH($E308,""Dragon""),""Dragon "","""")&amp;IF(REGEXMATCH($E308,""Human""),""Human "","""")&amp;I"&amp;"F(REGEXMATCH($E308,""Hunter""),""Hunter "","""")&amp;IF(REGEXMATCH($E308,""Animal""),""Animal "","""")&amp;IF(REGEXMATCH($E308,""Undead""),""Undead "","""")&amp;IF(REGEXMATCH($E308,""Plant""),""Plant "","""")&amp;IF(REGEXMATCH($E308,""Dinosaur""),""Dinosaur "","""")&amp;IF(R"&amp;"EGEXMATCH($E308,""Warrior""),""Warrior "","""")&amp;IF(REGEXMATCH($E308,""Spirit""),""Spirit "","""")&amp;IF(REGEXMATCH($E308,""Angel""),""Angel "","""")&amp;IF(REGEXMATCH($E308,""Demon""),""Demon "","""")&amp;IF(REGEXMATCH($E308,""Divine""),""Divine "","""")&amp;IF(REGEXMAT"&amp;"CH($E308,""Elemental""),""Elemental "","""")&amp;IF(REGEXMATCH($E308,""Nature""),""Nature "","""")&amp;IF(REGEXMATCH($E308,""Mortal""),""Mortal "","""")&amp;IF(REGEXMATCH($E308,""Void""),""Void "","""")&amp;IF(REGEXMATCH($E308,""Unearth|Ambush|Ritual|unearth|ambush|ritua"&amp;"l""),""Unearth "","""")&amp;IF(REGEXMATCH($E308,""Unleash|Crystallize|all realms|Crystalborn|crystallize""),""Ramp "","""")&amp;IF(REGEXMATCH($E308,""Demon""),""Demon "","""")&amp;IF(REGEXMATCH($E308,""bury|buries|Bury|Buries|Cleanse|puts a Unit|trail|Trail""),""Cont"&amp;"rol "","""")&amp;IF(REGEXMATCH($E308,""Bounce|Return|Copy|bounce|return|copy""),""Copy "","""")&amp;IF(REGEXMATCH($E308,""conquer|Conquer|leading in lanes|lead by""),""Aggro "","""")&amp;IF(REGEXMATCH($E308,""Ascend|ascend""),""Ascend "","""")&amp;IF(REGEXMATCH($E308,""B"&amp;"ury .+ Crystal|.*crystal.*bury""),""Empty-Crystal"","""")&amp;IF(REGEXMATCH($E308,""Move|move""),""Move"","""")"),"Control ")</f>
        <v>Control </v>
      </c>
      <c r="G308" s="12" t="s">
        <v>1284</v>
      </c>
      <c r="H308" s="11">
        <v>4.0</v>
      </c>
      <c r="I308" s="57" t="s">
        <v>1231</v>
      </c>
      <c r="J308" s="11" t="s">
        <v>50</v>
      </c>
      <c r="L308" s="13" t="str">
        <f>IFERROR(__xludf.DUMMYFUNCTION("IF(REGEXMATCH($B308,L$1),$D308,"""")"),"")</f>
        <v/>
      </c>
      <c r="M308" s="13" t="str">
        <f>IFERROR(__xludf.DUMMYFUNCTION("IF(REGEXMATCH($B308,M$1),$D308,"""")"),"")</f>
        <v/>
      </c>
      <c r="N308" s="13" t="str">
        <f>IFERROR(__xludf.DUMMYFUNCTION("IF(REGEXMATCH($B308,N$1),$D308,"""")"),"Demon Hunter")</f>
        <v>Demon Hunter</v>
      </c>
      <c r="O308" s="13" t="str">
        <f>IFERROR(__xludf.DUMMYFUNCTION("IF(REGEXMATCH($B308,O$1),$D308,"""")"),"")</f>
        <v/>
      </c>
      <c r="P308" s="13" t="str">
        <f>IFERROR(__xludf.DUMMYFUNCTION("IF(REGEXMATCH($B308,P$1),$D308,"""")"),"")</f>
        <v/>
      </c>
      <c r="Q308" s="13">
        <f>IFERROR(__xludf.DUMMYFUNCTION("IF($A308="""","""",LEN(REGEXREPLACE($I308,"",\s?"","""")))"),4.0)</f>
        <v>4</v>
      </c>
      <c r="S308" s="13"/>
      <c r="T308" s="13"/>
      <c r="U308" s="13"/>
      <c r="V308" s="13"/>
      <c r="W308" s="13"/>
      <c r="X308" s="13"/>
      <c r="Y308" s="13"/>
      <c r="Z308" s="13"/>
      <c r="AA308" s="13"/>
      <c r="AB308" s="13"/>
    </row>
    <row r="309" hidden="1">
      <c r="A309" s="19" t="s">
        <v>1285</v>
      </c>
      <c r="B309" s="83" t="s">
        <v>13</v>
      </c>
      <c r="C309" s="11">
        <v>2.0</v>
      </c>
      <c r="D309" s="11" t="s">
        <v>1011</v>
      </c>
      <c r="E309" s="10" t="s">
        <v>1286</v>
      </c>
      <c r="F309" s="10" t="str">
        <f>IFERROR(__xludf.DUMMYFUNCTION("IF(REGEXMATCH($E309,""Wizard""),""Wizard "","""")&amp;IF(REGEXMATCH($E309,""Construct""),""Construct "","""")&amp;IF(REGEXMATCH($E309,""Insect""),""Insect "","""")&amp;IF(REGEXMATCH($E309,""Dragon""),""Dragon "","""")&amp;IF(REGEXMATCH($E309,""Human""),""Human "","""")&amp;I"&amp;"F(REGEXMATCH($E309,""Hunter""),""Hunter "","""")&amp;IF(REGEXMATCH($E309,""Animal""),""Animal "","""")&amp;IF(REGEXMATCH($E309,""Undead""),""Undead "","""")&amp;IF(REGEXMATCH($E309,""Plant""),""Plant "","""")&amp;IF(REGEXMATCH($E309,""Dinosaur""),""Dinosaur "","""")&amp;IF(R"&amp;"EGEXMATCH($E309,""Warrior""),""Warrior "","""")&amp;IF(REGEXMATCH($E309,""Spirit""),""Spirit "","""")&amp;IF(REGEXMATCH($E309,""Angel""),""Angel "","""")&amp;IF(REGEXMATCH($E309,""Demon""),""Demon "","""")&amp;IF(REGEXMATCH($E309,""Divine""),""Divine "","""")&amp;IF(REGEXMAT"&amp;"CH($E309,""Elemental""),""Elemental "","""")&amp;IF(REGEXMATCH($E309,""Nature""),""Nature "","""")&amp;IF(REGEXMATCH($E309,""Mortal""),""Mortal "","""")&amp;IF(REGEXMATCH($E309,""Void""),""Void "","""")&amp;IF(REGEXMATCH($E309,""Unearth|Ambush|Ritual|unearth|ambush|ritua"&amp;"l""),""Unearth "","""")&amp;IF(REGEXMATCH($E309,""Unleash|Crystallize|all realms|Crystalborn|crystallize""),""Ramp "","""")&amp;IF(REGEXMATCH($E309,""Demon""),""Demon "","""")&amp;IF(REGEXMATCH($E309,""bury|buries|Bury|Buries|Cleanse|puts a Unit|trail|Trail""),""Cont"&amp;"rol "","""")&amp;IF(REGEXMATCH($E309,""Bounce|Return|Copy|bounce|return|copy""),""Copy "","""")&amp;IF(REGEXMATCH($E309,""conquer|Conquer|leading in lanes|lead by""),""Aggro "","""")&amp;IF(REGEXMATCH($E309,""Ascend|ascend""),""Ascend "","""")&amp;IF(REGEXMATCH($E309,""B"&amp;"ury .+ Crystal|.*crystal.*bury""),""Empty-Crystal"","""")&amp;IF(REGEXMATCH($E309,""Move|move""),""Move"","""")"),"Unearth Copy ")</f>
        <v>Unearth Copy </v>
      </c>
      <c r="G309" s="12" t="s">
        <v>1287</v>
      </c>
      <c r="H309" s="11">
        <v>2.0</v>
      </c>
      <c r="I309" s="11" t="s">
        <v>1231</v>
      </c>
      <c r="J309" s="11" t="s">
        <v>50</v>
      </c>
      <c r="L309" s="13" t="str">
        <f>IFERROR(__xludf.DUMMYFUNCTION("IF(REGEXMATCH($B309,L$1),$D309,"""")"),"")</f>
        <v/>
      </c>
      <c r="M309" s="13" t="str">
        <f>IFERROR(__xludf.DUMMYFUNCTION("IF(REGEXMATCH($B309,M$1),$D309,"""")"),"")</f>
        <v/>
      </c>
      <c r="N309" s="13" t="str">
        <f>IFERROR(__xludf.DUMMYFUNCTION("IF(REGEXMATCH($B309,N$1),$D309,"""")"),"Hunter Insect")</f>
        <v>Hunter Insect</v>
      </c>
      <c r="O309" s="13" t="str">
        <f>IFERROR(__xludf.DUMMYFUNCTION("IF(REGEXMATCH($B309,O$1),$D309,"""")"),"")</f>
        <v/>
      </c>
      <c r="P309" s="13" t="str">
        <f>IFERROR(__xludf.DUMMYFUNCTION("IF(REGEXMATCH($B309,P$1),$D309,"""")"),"")</f>
        <v/>
      </c>
      <c r="Q309" s="13">
        <f>IFERROR(__xludf.DUMMYFUNCTION("IF($A309="""","""",LEN(REGEXREPLACE($I309,"",\s?"","""")))"),4.0)</f>
        <v>4</v>
      </c>
      <c r="S309" s="13"/>
      <c r="T309" s="13"/>
      <c r="U309" s="13"/>
      <c r="V309" s="13"/>
      <c r="W309" s="13"/>
      <c r="X309" s="13"/>
      <c r="Y309" s="13"/>
      <c r="Z309" s="13"/>
      <c r="AA309" s="13"/>
      <c r="AB309" s="13"/>
    </row>
    <row r="310">
      <c r="A310" s="10" t="s">
        <v>1288</v>
      </c>
      <c r="B310" s="10" t="s">
        <v>13</v>
      </c>
      <c r="C310" s="11">
        <v>1.0</v>
      </c>
      <c r="D310" s="11" t="s">
        <v>1129</v>
      </c>
      <c r="E310" s="10" t="s">
        <v>1289</v>
      </c>
      <c r="F310" s="10" t="str">
        <f>IFERROR(__xludf.DUMMYFUNCTION("IF(REGEXMATCH($E310,""Wizard""),""Wizard "","""")&amp;IF(REGEXMATCH($E310,""Construct""),""Construct "","""")&amp;IF(REGEXMATCH($E310,""Insect""),""Insect "","""")&amp;IF(REGEXMATCH($E310,""Dragon""),""Dragon "","""")&amp;IF(REGEXMATCH($E310,""Human""),""Human "","""")&amp;I"&amp;"F(REGEXMATCH($E310,""Hunter""),""Hunter "","""")&amp;IF(REGEXMATCH($E310,""Animal""),""Animal "","""")&amp;IF(REGEXMATCH($E310,""Undead""),""Undead "","""")&amp;IF(REGEXMATCH($E310,""Plant""),""Plant "","""")&amp;IF(REGEXMATCH($E310,""Dinosaur""),""Dinosaur "","""")&amp;IF(R"&amp;"EGEXMATCH($E310,""Warrior""),""Warrior "","""")&amp;IF(REGEXMATCH($E310,""Spirit""),""Spirit "","""")&amp;IF(REGEXMATCH($E310,""Angel""),""Angel "","""")&amp;IF(REGEXMATCH($E310,""Demon""),""Demon "","""")&amp;IF(REGEXMATCH($E310,""Divine""),""Divine "","""")&amp;IF(REGEXMAT"&amp;"CH($E310,""Elemental""),""Elemental "","""")&amp;IF(REGEXMATCH($E310,""Nature""),""Nature "","""")&amp;IF(REGEXMATCH($E310,""Mortal""),""Mortal "","""")&amp;IF(REGEXMATCH($E310,""Void""),""Void "","""")&amp;IF(REGEXMATCH($E310,""Unearth|Ambush|Ritual|unearth|ambush|ritua"&amp;"l""),""Unearth "","""")&amp;IF(REGEXMATCH($E310,""Unleash|Crystallize|all realms|Crystalborn|crystallize""),""Ramp "","""")&amp;IF(REGEXMATCH($E310,""Demon""),""Demon "","""")&amp;IF(REGEXMATCH($E310,""bury|buries|Bury|Buries|Cleanse|puts a Unit|trail|Trail""),""Cont"&amp;"rol "","""")&amp;IF(REGEXMATCH($E310,""Bounce|Return|Copy|bounce|return|copy""),""Copy "","""")&amp;IF(REGEXMATCH($E310,""conquer|Conquer|leading in lanes|lead by""),""Aggro "","""")&amp;IF(REGEXMATCH($E310,""Ascend|ascend""),""Ascend "","""")&amp;IF(REGEXMATCH($E310,""B"&amp;"ury .+ Crystal|.*crystal.*bury""),""Empty-Crystal"","""")&amp;IF(REGEXMATCH($E310,""Move|move""),""Move"","""")"),"Void ")</f>
        <v>Void </v>
      </c>
      <c r="G310" s="12" t="s">
        <v>1290</v>
      </c>
      <c r="H310" s="11">
        <v>1.0</v>
      </c>
      <c r="I310" s="11" t="s">
        <v>1169</v>
      </c>
      <c r="J310" s="11" t="s">
        <v>42</v>
      </c>
      <c r="L310" s="13" t="str">
        <f>IFERROR(__xludf.DUMMYFUNCTION("IF(REGEXMATCH($B310,L$1),$D310,"""")"),"")</f>
        <v/>
      </c>
      <c r="M310" s="13" t="str">
        <f>IFERROR(__xludf.DUMMYFUNCTION("IF(REGEXMATCH($B310,M$1),$D310,"""")"),"")</f>
        <v/>
      </c>
      <c r="N310" s="13" t="str">
        <f>IFERROR(__xludf.DUMMYFUNCTION("IF(REGEXMATCH($B310,N$1),$D310,"""")"),"Demon Insect")</f>
        <v>Demon Insect</v>
      </c>
      <c r="O310" s="13" t="str">
        <f>IFERROR(__xludf.DUMMYFUNCTION("IF(REGEXMATCH($B310,O$1),$D310,"""")"),"")</f>
        <v/>
      </c>
      <c r="P310" s="13" t="str">
        <f>IFERROR(__xludf.DUMMYFUNCTION("IF(REGEXMATCH($B310,P$1),$D310,"""")"),"")</f>
        <v/>
      </c>
      <c r="Q310" s="13">
        <f>IFERROR(__xludf.DUMMYFUNCTION("IF($A310="""","""",LEN(REGEXREPLACE($I310,"",\s?"","""")))"),2.0)</f>
        <v>2</v>
      </c>
      <c r="S310" s="13"/>
      <c r="T310" s="13"/>
      <c r="U310" s="13"/>
      <c r="V310" s="13"/>
      <c r="W310" s="13"/>
      <c r="X310" s="13"/>
      <c r="Y310" s="13"/>
      <c r="Z310" s="13"/>
      <c r="AA310" s="13"/>
      <c r="AB310" s="13"/>
    </row>
    <row r="311">
      <c r="A311" s="22" t="s">
        <v>1291</v>
      </c>
      <c r="B311" s="10" t="s">
        <v>13</v>
      </c>
      <c r="C311" s="11">
        <v>1.0</v>
      </c>
      <c r="D311" s="11" t="s">
        <v>1292</v>
      </c>
      <c r="E311" s="10" t="s">
        <v>1293</v>
      </c>
      <c r="F311" s="10" t="str">
        <f>IFERROR(__xludf.DUMMYFUNCTION("IF(REGEXMATCH($E311,""Wizard""),""Wizard "","""")&amp;IF(REGEXMATCH($E311,""Construct""),""Construct "","""")&amp;IF(REGEXMATCH($E311,""Insect""),""Insect "","""")&amp;IF(REGEXMATCH($E311,""Dragon""),""Dragon "","""")&amp;IF(REGEXMATCH($E311,""Human""),""Human "","""")&amp;I"&amp;"F(REGEXMATCH($E311,""Hunter""),""Hunter "","""")&amp;IF(REGEXMATCH($E311,""Animal""),""Animal "","""")&amp;IF(REGEXMATCH($E311,""Undead""),""Undead "","""")&amp;IF(REGEXMATCH($E311,""Plant""),""Plant "","""")&amp;IF(REGEXMATCH($E311,""Dinosaur""),""Dinosaur "","""")&amp;IF(R"&amp;"EGEXMATCH($E311,""Warrior""),""Warrior "","""")&amp;IF(REGEXMATCH($E311,""Spirit""),""Spirit "","""")&amp;IF(REGEXMATCH($E311,""Angel""),""Angel "","""")&amp;IF(REGEXMATCH($E311,""Demon""),""Demon "","""")&amp;IF(REGEXMATCH($E311,""Divine""),""Divine "","""")&amp;IF(REGEXMAT"&amp;"CH($E311,""Elemental""),""Elemental "","""")&amp;IF(REGEXMATCH($E311,""Nature""),""Nature "","""")&amp;IF(REGEXMATCH($E311,""Mortal""),""Mortal "","""")&amp;IF(REGEXMATCH($E311,""Void""),""Void "","""")&amp;IF(REGEXMATCH($E311,""Unearth|Ambush|Ritual|unearth|ambush|ritua"&amp;"l""),""Unearth "","""")&amp;IF(REGEXMATCH($E311,""Unleash|Crystallize|all realms|Crystalborn|crystallize""),""Ramp "","""")&amp;IF(REGEXMATCH($E311,""Demon""),""Demon "","""")&amp;IF(REGEXMATCH($E311,""bury|buries|Bury|Buries|Cleanse|puts a Unit|trail|Trail""),""Cont"&amp;"rol "","""")&amp;IF(REGEXMATCH($E311,""Bounce|Return|Copy|bounce|return|copy""),""Copy "","""")&amp;IF(REGEXMATCH($E311,""conquer|Conquer|leading in lanes|lead by""),""Aggro "","""")&amp;IF(REGEXMATCH($E311,""Ascend|ascend""),""Ascend "","""")&amp;IF(REGEXMATCH($E311,""B"&amp;"ury .+ Crystal|.*crystal.*bury""),""Empty-Crystal"","""")&amp;IF(REGEXMATCH($E311,""Move|move""),""Move"","""")"),"Void ")</f>
        <v>Void </v>
      </c>
      <c r="G311" s="12" t="s">
        <v>1294</v>
      </c>
      <c r="H311" s="11">
        <v>2.0</v>
      </c>
      <c r="I311" s="11" t="s">
        <v>1169</v>
      </c>
      <c r="J311" s="11" t="s">
        <v>42</v>
      </c>
      <c r="L311" s="13" t="str">
        <f>IFERROR(__xludf.DUMMYFUNCTION("IF(REGEXMATCH($B311,L$1),$D311,"""")"),"")</f>
        <v/>
      </c>
      <c r="M311" s="13" t="str">
        <f>IFERROR(__xludf.DUMMYFUNCTION("IF(REGEXMATCH($B311,M$1),$D311,"""")"),"")</f>
        <v/>
      </c>
      <c r="N311" s="13" t="str">
        <f>IFERROR(__xludf.DUMMYFUNCTION("IF(REGEXMATCH($B311,N$1),$D311,"""")"),"Demon Plant")</f>
        <v>Demon Plant</v>
      </c>
      <c r="O311" s="13" t="str">
        <f>IFERROR(__xludf.DUMMYFUNCTION("IF(REGEXMATCH($B311,O$1),$D311,"""")"),"")</f>
        <v/>
      </c>
      <c r="P311" s="13" t="str">
        <f>IFERROR(__xludf.DUMMYFUNCTION("IF(REGEXMATCH($B311,P$1),$D311,"""")"),"")</f>
        <v/>
      </c>
      <c r="Q311" s="13">
        <f>IFERROR(__xludf.DUMMYFUNCTION("IF($A311="""","""",LEN(REGEXREPLACE($I311,"",\s?"","""")))"),2.0)</f>
        <v>2</v>
      </c>
      <c r="S311" s="13"/>
      <c r="T311" s="13"/>
      <c r="U311" s="13"/>
      <c r="V311" s="13"/>
      <c r="W311" s="13"/>
      <c r="X311" s="13"/>
      <c r="Y311" s="13"/>
      <c r="Z311" s="13"/>
      <c r="AA311" s="13"/>
      <c r="AB311" s="13"/>
    </row>
    <row r="312" hidden="1">
      <c r="A312" s="19" t="s">
        <v>1295</v>
      </c>
      <c r="B312" s="84" t="s">
        <v>13</v>
      </c>
      <c r="C312" s="18">
        <v>2.0</v>
      </c>
      <c r="D312" s="18" t="s">
        <v>263</v>
      </c>
      <c r="E312" s="19" t="s">
        <v>1296</v>
      </c>
      <c r="F312" s="10" t="str">
        <f>IFERROR(__xludf.DUMMYFUNCTION("IF(REGEXMATCH($E312,""Wizard""),""Wizard "","""")&amp;IF(REGEXMATCH($E312,""Construct""),""Construct "","""")&amp;IF(REGEXMATCH($E312,""Insect""),""Insect "","""")&amp;IF(REGEXMATCH($E312,""Dragon""),""Dragon "","""")&amp;IF(REGEXMATCH($E312,""Human""),""Human "","""")&amp;I"&amp;"F(REGEXMATCH($E312,""Hunter""),""Hunter "","""")&amp;IF(REGEXMATCH($E312,""Animal""),""Animal "","""")&amp;IF(REGEXMATCH($E312,""Undead""),""Undead "","""")&amp;IF(REGEXMATCH($E312,""Plant""),""Plant "","""")&amp;IF(REGEXMATCH($E312,""Dinosaur""),""Dinosaur "","""")&amp;IF(R"&amp;"EGEXMATCH($E312,""Warrior""),""Warrior "","""")&amp;IF(REGEXMATCH($E312,""Spirit""),""Spirit "","""")&amp;IF(REGEXMATCH($E312,""Angel""),""Angel "","""")&amp;IF(REGEXMATCH($E312,""Demon""),""Demon "","""")&amp;IF(REGEXMATCH($E312,""Divine""),""Divine "","""")&amp;IF(REGEXMAT"&amp;"CH($E312,""Elemental""),""Elemental "","""")&amp;IF(REGEXMATCH($E312,""Nature""),""Nature "","""")&amp;IF(REGEXMATCH($E312,""Mortal""),""Mortal "","""")&amp;IF(REGEXMATCH($E312,""Void""),""Void "","""")&amp;IF(REGEXMATCH($E312,""Unearth|Ambush|Ritual|unearth|ambush|ritua"&amp;"l""),""Unearth "","""")&amp;IF(REGEXMATCH($E312,""Unleash|Crystallize|all realms|Crystalborn|crystallize""),""Ramp "","""")&amp;IF(REGEXMATCH($E312,""Demon""),""Demon "","""")&amp;IF(REGEXMATCH($E312,""bury|buries|Bury|Buries|Cleanse|puts a Unit|trail|Trail""),""Cont"&amp;"rol "","""")&amp;IF(REGEXMATCH($E312,""Bounce|Return|Copy|bounce|return|copy""),""Copy "","""")&amp;IF(REGEXMATCH($E312,""conquer|Conquer|leading in lanes|lead by""),""Aggro "","""")&amp;IF(REGEXMATCH($E312,""Ascend|ascend""),""Ascend "","""")&amp;IF(REGEXMATCH($E312,""B"&amp;"ury .+ Crystal|.*crystal.*bury""),""Empty-Crystal"","""")&amp;IF(REGEXMATCH($E312,""Move|move""),""Move"","""")"),"Control ")</f>
        <v>Control </v>
      </c>
      <c r="G312" s="20" t="s">
        <v>1297</v>
      </c>
      <c r="H312" s="18">
        <v>0.0</v>
      </c>
      <c r="I312" s="18" t="s">
        <v>1231</v>
      </c>
      <c r="J312" s="18" t="s">
        <v>50</v>
      </c>
      <c r="L312" s="13" t="str">
        <f>IFERROR(__xludf.DUMMYFUNCTION("IF(REGEXMATCH($B312,L$1),$D312,"""")"),"")</f>
        <v/>
      </c>
      <c r="M312" s="13" t="str">
        <f>IFERROR(__xludf.DUMMYFUNCTION("IF(REGEXMATCH($B312,M$1),$D312,"""")"),"")</f>
        <v/>
      </c>
      <c r="N312" s="13" t="str">
        <f>IFERROR(__xludf.DUMMYFUNCTION("IF(REGEXMATCH($B312,N$1),$D312,"""")"),"Construct Undead")</f>
        <v>Construct Undead</v>
      </c>
      <c r="O312" s="13" t="str">
        <f>IFERROR(__xludf.DUMMYFUNCTION("IF(REGEXMATCH($B312,O$1),$D312,"""")"),"")</f>
        <v/>
      </c>
      <c r="P312" s="13" t="str">
        <f>IFERROR(__xludf.DUMMYFUNCTION("IF(REGEXMATCH($B312,P$1),$D312,"""")"),"")</f>
        <v/>
      </c>
      <c r="Q312" s="13">
        <f>IFERROR(__xludf.DUMMYFUNCTION("IF($A312="""","""",LEN(REGEXREPLACE($I312,"",\s?"","""")))"),4.0)</f>
        <v>4</v>
      </c>
      <c r="S312" s="13"/>
      <c r="T312" s="13"/>
      <c r="U312" s="13"/>
      <c r="V312" s="13"/>
      <c r="W312" s="13"/>
      <c r="X312" s="13"/>
      <c r="Y312" s="13"/>
      <c r="Z312" s="13"/>
      <c r="AA312" s="13"/>
      <c r="AB312" s="13"/>
    </row>
    <row r="313">
      <c r="A313" s="29" t="s">
        <v>1298</v>
      </c>
      <c r="B313" s="10" t="s">
        <v>13</v>
      </c>
      <c r="C313" s="11">
        <v>1.0</v>
      </c>
      <c r="D313" s="11" t="s">
        <v>474</v>
      </c>
      <c r="E313" s="10" t="s">
        <v>1299</v>
      </c>
      <c r="F313" s="10" t="str">
        <f>IFERROR(__xludf.DUMMYFUNCTION("IF(REGEXMATCH($E313,""Wizard""),""Wizard "","""")&amp;IF(REGEXMATCH($E313,""Construct""),""Construct "","""")&amp;IF(REGEXMATCH($E313,""Insect""),""Insect "","""")&amp;IF(REGEXMATCH($E313,""Dragon""),""Dragon "","""")&amp;IF(REGEXMATCH($E313,""Human""),""Human "","""")&amp;I"&amp;"F(REGEXMATCH($E313,""Hunter""),""Hunter "","""")&amp;IF(REGEXMATCH($E313,""Animal""),""Animal "","""")&amp;IF(REGEXMATCH($E313,""Undead""),""Undead "","""")&amp;IF(REGEXMATCH($E313,""Plant""),""Plant "","""")&amp;IF(REGEXMATCH($E313,""Dinosaur""),""Dinosaur "","""")&amp;IF(R"&amp;"EGEXMATCH($E313,""Warrior""),""Warrior "","""")&amp;IF(REGEXMATCH($E313,""Spirit""),""Spirit "","""")&amp;IF(REGEXMATCH($E313,""Angel""),""Angel "","""")&amp;IF(REGEXMATCH($E313,""Demon""),""Demon "","""")&amp;IF(REGEXMATCH($E313,""Divine""),""Divine "","""")&amp;IF(REGEXMAT"&amp;"CH($E313,""Elemental""),""Elemental "","""")&amp;IF(REGEXMATCH($E313,""Nature""),""Nature "","""")&amp;IF(REGEXMATCH($E313,""Mortal""),""Mortal "","""")&amp;IF(REGEXMATCH($E313,""Void""),""Void "","""")&amp;IF(REGEXMATCH($E313,""Unearth|Ambush|Ritual|unearth|ambush|ritua"&amp;"l""),""Unearth "","""")&amp;IF(REGEXMATCH($E313,""Unleash|Crystallize|all realms|Crystalborn|crystallize""),""Ramp "","""")&amp;IF(REGEXMATCH($E313,""Demon""),""Demon "","""")&amp;IF(REGEXMATCH($E313,""bury|buries|Bury|Buries|Cleanse|puts a Unit|trail|Trail""),""Cont"&amp;"rol "","""")&amp;IF(REGEXMATCH($E313,""Bounce|Return|Copy|bounce|return|copy""),""Copy "","""")&amp;IF(REGEXMATCH($E313,""conquer|Conquer|leading in lanes|lead by""),""Aggro "","""")&amp;IF(REGEXMATCH($E313,""Ascend|ascend""),""Ascend "","""")&amp;IF(REGEXMATCH($E313,""B"&amp;"ury .+ Crystal|.*crystal.*bury""),""Empty-Crystal"","""")&amp;IF(REGEXMATCH($E313,""Move|move""),""Move"","""")"),"Control Empty-Crystal")</f>
        <v>Control Empty-Crystal</v>
      </c>
      <c r="G313" s="20" t="s">
        <v>1300</v>
      </c>
      <c r="H313" s="11">
        <v>10.0</v>
      </c>
      <c r="I313" s="11" t="s">
        <v>1231</v>
      </c>
      <c r="J313" s="21" t="s">
        <v>33</v>
      </c>
      <c r="L313" s="13" t="str">
        <f>IFERROR(__xludf.DUMMYFUNCTION("IF(REGEXMATCH($B313,L$1),$D313,"""")"),"")</f>
        <v/>
      </c>
      <c r="M313" s="13" t="str">
        <f>IFERROR(__xludf.DUMMYFUNCTION("IF(REGEXMATCH($B313,M$1),$D313,"""")"),"")</f>
        <v/>
      </c>
      <c r="N313" s="13" t="str">
        <f>IFERROR(__xludf.DUMMYFUNCTION("IF(REGEXMATCH($B313,N$1),$D313,"""")"),"Demon Spirit")</f>
        <v>Demon Spirit</v>
      </c>
      <c r="O313" s="13" t="str">
        <f>IFERROR(__xludf.DUMMYFUNCTION("IF(REGEXMATCH($B313,O$1),$D313,"""")"),"")</f>
        <v/>
      </c>
      <c r="P313" s="13" t="str">
        <f>IFERROR(__xludf.DUMMYFUNCTION("IF(REGEXMATCH($B313,P$1),$D313,"""")"),"")</f>
        <v/>
      </c>
      <c r="Q313" s="13">
        <f>IFERROR(__xludf.DUMMYFUNCTION("IF($A313="""","""",LEN(REGEXREPLACE($I313,"",\s?"","""")))"),4.0)</f>
        <v>4</v>
      </c>
      <c r="S313" s="13"/>
      <c r="T313" s="13"/>
      <c r="U313" s="13"/>
      <c r="V313" s="13"/>
      <c r="W313" s="13"/>
      <c r="X313" s="13"/>
      <c r="Y313" s="13"/>
      <c r="Z313" s="13"/>
      <c r="AA313" s="13"/>
      <c r="AB313" s="13"/>
    </row>
    <row r="314" hidden="1">
      <c r="A314" s="19" t="s">
        <v>1301</v>
      </c>
      <c r="B314" s="84" t="s">
        <v>13</v>
      </c>
      <c r="C314" s="18">
        <v>2.0</v>
      </c>
      <c r="D314" s="18" t="s">
        <v>1302</v>
      </c>
      <c r="E314" s="19" t="s">
        <v>1303</v>
      </c>
      <c r="F314" s="10" t="str">
        <f>IFERROR(__xludf.DUMMYFUNCTION("IF(REGEXMATCH($E314,""Wizard""),""Wizard "","""")&amp;IF(REGEXMATCH($E314,""Construct""),""Construct "","""")&amp;IF(REGEXMATCH($E314,""Insect""),""Insect "","""")&amp;IF(REGEXMATCH($E314,""Dragon""),""Dragon "","""")&amp;IF(REGEXMATCH($E314,""Human""),""Human "","""")&amp;I"&amp;"F(REGEXMATCH($E314,""Hunter""),""Hunter "","""")&amp;IF(REGEXMATCH($E314,""Animal""),""Animal "","""")&amp;IF(REGEXMATCH($E314,""Undead""),""Undead "","""")&amp;IF(REGEXMATCH($E314,""Plant""),""Plant "","""")&amp;IF(REGEXMATCH($E314,""Dinosaur""),""Dinosaur "","""")&amp;IF(R"&amp;"EGEXMATCH($E314,""Warrior""),""Warrior "","""")&amp;IF(REGEXMATCH($E314,""Spirit""),""Spirit "","""")&amp;IF(REGEXMATCH($E314,""Angel""),""Angel "","""")&amp;IF(REGEXMATCH($E314,""Demon""),""Demon "","""")&amp;IF(REGEXMATCH($E314,""Divine""),""Divine "","""")&amp;IF(REGEXMAT"&amp;"CH($E314,""Elemental""),""Elemental "","""")&amp;IF(REGEXMATCH($E314,""Nature""),""Nature "","""")&amp;IF(REGEXMATCH($E314,""Mortal""),""Mortal "","""")&amp;IF(REGEXMATCH($E314,""Void""),""Void "","""")&amp;IF(REGEXMATCH($E314,""Unearth|Ambush|Ritual|unearth|ambush|ritua"&amp;"l""),""Unearth "","""")&amp;IF(REGEXMATCH($E314,""Unleash|Crystallize|all realms|Crystalborn|crystallize""),""Ramp "","""")&amp;IF(REGEXMATCH($E314,""Demon""),""Demon "","""")&amp;IF(REGEXMATCH($E314,""bury|buries|Bury|Buries|Cleanse|puts a Unit|trail|Trail""),""Cont"&amp;"rol "","""")&amp;IF(REGEXMATCH($E314,""Bounce|Return|Copy|bounce|return|copy""),""Copy "","""")&amp;IF(REGEXMATCH($E314,""conquer|Conquer|leading in lanes|lead by""),""Aggro "","""")&amp;IF(REGEXMATCH($E314,""Ascend|ascend""),""Ascend "","""")&amp;IF(REGEXMATCH($E314,""B"&amp;"ury .+ Crystal|.*crystal.*bury""),""Empty-Crystal"","""")&amp;IF(REGEXMATCH($E314,""Move|move""),""Move"","""")"),"Ramp ")</f>
        <v>Ramp </v>
      </c>
      <c r="G314" s="20" t="s">
        <v>1304</v>
      </c>
      <c r="H314" s="18">
        <v>4.0</v>
      </c>
      <c r="I314" s="18" t="s">
        <v>1231</v>
      </c>
      <c r="J314" s="18" t="s">
        <v>50</v>
      </c>
      <c r="L314" s="13" t="str">
        <f>IFERROR(__xludf.DUMMYFUNCTION("IF(REGEXMATCH($B314,L$1),$D314,"""")"),"")</f>
        <v/>
      </c>
      <c r="M314" s="13" t="str">
        <f>IFERROR(__xludf.DUMMYFUNCTION("IF(REGEXMATCH($B314,M$1),$D314,"""")"),"")</f>
        <v/>
      </c>
      <c r="N314" s="13" t="str">
        <f>IFERROR(__xludf.DUMMYFUNCTION("IF(REGEXMATCH($B314,N$1),$D314,"""")"),"Crystalblight Demon")</f>
        <v>Crystalblight Demon</v>
      </c>
      <c r="O314" s="13" t="str">
        <f>IFERROR(__xludf.DUMMYFUNCTION("IF(REGEXMATCH($B314,O$1),$D314,"""")"),"")</f>
        <v/>
      </c>
      <c r="P314" s="13" t="str">
        <f>IFERROR(__xludf.DUMMYFUNCTION("IF(REGEXMATCH($B314,P$1),$D314,"""")"),"")</f>
        <v/>
      </c>
      <c r="Q314" s="13">
        <f>IFERROR(__xludf.DUMMYFUNCTION("IF($A314="""","""",LEN(REGEXREPLACE($I314,"",\s?"","""")))"),4.0)</f>
        <v>4</v>
      </c>
      <c r="S314" s="13"/>
      <c r="T314" s="13"/>
      <c r="U314" s="13"/>
      <c r="V314" s="13"/>
      <c r="W314" s="13"/>
      <c r="X314" s="13"/>
      <c r="Y314" s="13"/>
      <c r="Z314" s="13"/>
      <c r="AA314" s="13"/>
      <c r="AB314" s="13"/>
    </row>
    <row r="315" hidden="1">
      <c r="A315" s="19" t="s">
        <v>1305</v>
      </c>
      <c r="B315" s="84" t="s">
        <v>13</v>
      </c>
      <c r="C315" s="18">
        <v>2.0</v>
      </c>
      <c r="D315" s="18" t="s">
        <v>814</v>
      </c>
      <c r="E315" s="19" t="s">
        <v>1306</v>
      </c>
      <c r="F315" s="10" t="str">
        <f>IFERROR(__xludf.DUMMYFUNCTION("IF(REGEXMATCH($E315,""Wizard""),""Wizard "","""")&amp;IF(REGEXMATCH($E315,""Construct""),""Construct "","""")&amp;IF(REGEXMATCH($E315,""Insect""),""Insect "","""")&amp;IF(REGEXMATCH($E315,""Dragon""),""Dragon "","""")&amp;IF(REGEXMATCH($E315,""Human""),""Human "","""")&amp;I"&amp;"F(REGEXMATCH($E315,""Hunter""),""Hunter "","""")&amp;IF(REGEXMATCH($E315,""Animal""),""Animal "","""")&amp;IF(REGEXMATCH($E315,""Undead""),""Undead "","""")&amp;IF(REGEXMATCH($E315,""Plant""),""Plant "","""")&amp;IF(REGEXMATCH($E315,""Dinosaur""),""Dinosaur "","""")&amp;IF(R"&amp;"EGEXMATCH($E315,""Warrior""),""Warrior "","""")&amp;IF(REGEXMATCH($E315,""Spirit""),""Spirit "","""")&amp;IF(REGEXMATCH($E315,""Angel""),""Angel "","""")&amp;IF(REGEXMATCH($E315,""Demon""),""Demon "","""")&amp;IF(REGEXMATCH($E315,""Divine""),""Divine "","""")&amp;IF(REGEXMAT"&amp;"CH($E315,""Elemental""),""Elemental "","""")&amp;IF(REGEXMATCH($E315,""Nature""),""Nature "","""")&amp;IF(REGEXMATCH($E315,""Mortal""),""Mortal "","""")&amp;IF(REGEXMATCH($E315,""Void""),""Void "","""")&amp;IF(REGEXMATCH($E315,""Unearth|Ambush|Ritual|unearth|ambush|ritua"&amp;"l""),""Unearth "","""")&amp;IF(REGEXMATCH($E315,""Unleash|Crystallize|all realms|Crystalborn|crystallize""),""Ramp "","""")&amp;IF(REGEXMATCH($E315,""Demon""),""Demon "","""")&amp;IF(REGEXMATCH($E315,""bury|buries|Bury|Buries|Cleanse|puts a Unit|trail|Trail""),""Cont"&amp;"rol "","""")&amp;IF(REGEXMATCH($E315,""Bounce|Return|Copy|bounce|return|copy""),""Copy "","""")&amp;IF(REGEXMATCH($E315,""conquer|Conquer|leading in lanes|lead by""),""Aggro "","""")&amp;IF(REGEXMATCH($E315,""Ascend|ascend""),""Ascend "","""")&amp;IF(REGEXMATCH($E315,""B"&amp;"ury .+ Crystal|.*crystal.*bury""),""Empty-Crystal"","""")&amp;IF(REGEXMATCH($E315,""Move|move""),""Move"","""")"),"Unearth ")</f>
        <v>Unearth </v>
      </c>
      <c r="G315" s="20" t="s">
        <v>1307</v>
      </c>
      <c r="H315" s="18">
        <v>2.0</v>
      </c>
      <c r="I315" s="18" t="s">
        <v>1165</v>
      </c>
      <c r="J315" s="18" t="s">
        <v>42</v>
      </c>
      <c r="L315" s="13" t="str">
        <f>IFERROR(__xludf.DUMMYFUNCTION("IF(REGEXMATCH($B315,L$1),$D315,"""")"),"")</f>
        <v/>
      </c>
      <c r="M315" s="13" t="str">
        <f>IFERROR(__xludf.DUMMYFUNCTION("IF(REGEXMATCH($B315,M$1),$D315,"""")"),"")</f>
        <v/>
      </c>
      <c r="N315" s="13" t="str">
        <f>IFERROR(__xludf.DUMMYFUNCTION("IF(REGEXMATCH($B315,N$1),$D315,"""")"),"Undead")</f>
        <v>Undead</v>
      </c>
      <c r="O315" s="13" t="str">
        <f>IFERROR(__xludf.DUMMYFUNCTION("IF(REGEXMATCH($B315,O$1),$D315,"""")"),"")</f>
        <v/>
      </c>
      <c r="P315" s="13" t="str">
        <f>IFERROR(__xludf.DUMMYFUNCTION("IF(REGEXMATCH($B315,P$1),$D315,"""")"),"")</f>
        <v/>
      </c>
      <c r="Q315" s="13">
        <f>IFERROR(__xludf.DUMMYFUNCTION("IF($A315="""","""",LEN(REGEXREPLACE($I315,"",\s?"","""")))"),3.0)</f>
        <v>3</v>
      </c>
      <c r="S315" s="13"/>
      <c r="T315" s="13"/>
      <c r="U315" s="13"/>
      <c r="V315" s="13"/>
      <c r="W315" s="13"/>
      <c r="X315" s="13"/>
      <c r="Y315" s="13"/>
      <c r="Z315" s="13"/>
      <c r="AA315" s="13"/>
      <c r="AB315" s="13"/>
    </row>
    <row r="316" hidden="1">
      <c r="A316" s="19" t="s">
        <v>1308</v>
      </c>
      <c r="B316" s="84" t="s">
        <v>13</v>
      </c>
      <c r="C316" s="18">
        <v>2.0</v>
      </c>
      <c r="D316" s="18" t="s">
        <v>474</v>
      </c>
      <c r="E316" s="19" t="s">
        <v>1309</v>
      </c>
      <c r="F316" s="10" t="str">
        <f>IFERROR(__xludf.DUMMYFUNCTION("IF(REGEXMATCH($E316,""Wizard""),""Wizard "","""")&amp;IF(REGEXMATCH($E316,""Construct""),""Construct "","""")&amp;IF(REGEXMATCH($E316,""Insect""),""Insect "","""")&amp;IF(REGEXMATCH($E316,""Dragon""),""Dragon "","""")&amp;IF(REGEXMATCH($E316,""Human""),""Human "","""")&amp;I"&amp;"F(REGEXMATCH($E316,""Hunter""),""Hunter "","""")&amp;IF(REGEXMATCH($E316,""Animal""),""Animal "","""")&amp;IF(REGEXMATCH($E316,""Undead""),""Undead "","""")&amp;IF(REGEXMATCH($E316,""Plant""),""Plant "","""")&amp;IF(REGEXMATCH($E316,""Dinosaur""),""Dinosaur "","""")&amp;IF(R"&amp;"EGEXMATCH($E316,""Warrior""),""Warrior "","""")&amp;IF(REGEXMATCH($E316,""Spirit""),""Spirit "","""")&amp;IF(REGEXMATCH($E316,""Angel""),""Angel "","""")&amp;IF(REGEXMATCH($E316,""Demon""),""Demon "","""")&amp;IF(REGEXMATCH($E316,""Divine""),""Divine "","""")&amp;IF(REGEXMAT"&amp;"CH($E316,""Elemental""),""Elemental "","""")&amp;IF(REGEXMATCH($E316,""Nature""),""Nature "","""")&amp;IF(REGEXMATCH($E316,""Mortal""),""Mortal "","""")&amp;IF(REGEXMATCH($E316,""Void""),""Void "","""")&amp;IF(REGEXMATCH($E316,""Unearth|Ambush|Ritual|unearth|ambush|ritua"&amp;"l""),""Unearth "","""")&amp;IF(REGEXMATCH($E316,""Unleash|Crystallize|all realms|Crystalborn|crystallize""),""Ramp "","""")&amp;IF(REGEXMATCH($E316,""Demon""),""Demon "","""")&amp;IF(REGEXMATCH($E316,""bury|buries|Bury|Buries|Cleanse|puts a Unit|trail|Trail""),""Cont"&amp;"rol "","""")&amp;IF(REGEXMATCH($E316,""Bounce|Return|Copy|bounce|return|copy""),""Copy "","""")&amp;IF(REGEXMATCH($E316,""conquer|Conquer|leading in lanes|lead by""),""Aggro "","""")&amp;IF(REGEXMATCH($E316,""Ascend|ascend""),""Ascend "","""")&amp;IF(REGEXMATCH($E316,""B"&amp;"ury .+ Crystal|.*crystal.*bury""),""Empty-Crystal"","""")&amp;IF(REGEXMATCH($E316,""Move|move""),""Move"","""")"),"")</f>
        <v/>
      </c>
      <c r="G316" s="20" t="s">
        <v>1310</v>
      </c>
      <c r="H316" s="18">
        <v>0.0</v>
      </c>
      <c r="I316" s="18" t="s">
        <v>1140</v>
      </c>
      <c r="J316" s="18" t="s">
        <v>50</v>
      </c>
      <c r="L316" s="13" t="str">
        <f>IFERROR(__xludf.DUMMYFUNCTION("IF(REGEXMATCH($B316,L$1),$D316,"""")"),"")</f>
        <v/>
      </c>
      <c r="M316" s="13" t="str">
        <f>IFERROR(__xludf.DUMMYFUNCTION("IF(REGEXMATCH($B316,M$1),$D316,"""")"),"")</f>
        <v/>
      </c>
      <c r="N316" s="13" t="str">
        <f>IFERROR(__xludf.DUMMYFUNCTION("IF(REGEXMATCH($B316,N$1),$D316,"""")"),"Demon Spirit")</f>
        <v>Demon Spirit</v>
      </c>
      <c r="O316" s="13" t="str">
        <f>IFERROR(__xludf.DUMMYFUNCTION("IF(REGEXMATCH($B316,O$1),$D316,"""")"),"")</f>
        <v/>
      </c>
      <c r="P316" s="13" t="str">
        <f>IFERROR(__xludf.DUMMYFUNCTION("IF(REGEXMATCH($B316,P$1),$D316,"""")"),"")</f>
        <v/>
      </c>
      <c r="Q316" s="13">
        <f>IFERROR(__xludf.DUMMYFUNCTION("IF($A316="""","""",LEN(REGEXREPLACE($I316,"",\s?"","""")))"),5.0)</f>
        <v>5</v>
      </c>
      <c r="S316" s="13"/>
      <c r="T316" s="13"/>
      <c r="U316" s="13"/>
      <c r="V316" s="13"/>
      <c r="W316" s="13"/>
      <c r="X316" s="13"/>
      <c r="Y316" s="13"/>
      <c r="Z316" s="13"/>
      <c r="AA316" s="13"/>
      <c r="AB316" s="13"/>
    </row>
    <row r="317" hidden="1">
      <c r="A317" s="10" t="s">
        <v>1311</v>
      </c>
      <c r="B317" s="83" t="s">
        <v>13</v>
      </c>
      <c r="C317" s="11">
        <v>2.0</v>
      </c>
      <c r="D317" s="11" t="s">
        <v>924</v>
      </c>
      <c r="E317" s="10" t="s">
        <v>1312</v>
      </c>
      <c r="F317" s="10" t="str">
        <f>IFERROR(__xludf.DUMMYFUNCTION("IF(REGEXMATCH($E317,""Wizard""),""Wizard "","""")&amp;IF(REGEXMATCH($E317,""Construct""),""Construct "","""")&amp;IF(REGEXMATCH($E317,""Insect""),""Insect "","""")&amp;IF(REGEXMATCH($E317,""Dragon""),""Dragon "","""")&amp;IF(REGEXMATCH($E317,""Human""),""Human "","""")&amp;I"&amp;"F(REGEXMATCH($E317,""Hunter""),""Hunter "","""")&amp;IF(REGEXMATCH($E317,""Animal""),""Animal "","""")&amp;IF(REGEXMATCH($E317,""Undead""),""Undead "","""")&amp;IF(REGEXMATCH($E317,""Plant""),""Plant "","""")&amp;IF(REGEXMATCH($E317,""Dinosaur""),""Dinosaur "","""")&amp;IF(R"&amp;"EGEXMATCH($E317,""Warrior""),""Warrior "","""")&amp;IF(REGEXMATCH($E317,""Spirit""),""Spirit "","""")&amp;IF(REGEXMATCH($E317,""Angel""),""Angel "","""")&amp;IF(REGEXMATCH($E317,""Demon""),""Demon "","""")&amp;IF(REGEXMATCH($E317,""Divine""),""Divine "","""")&amp;IF(REGEXMAT"&amp;"CH($E317,""Elemental""),""Elemental "","""")&amp;IF(REGEXMATCH($E317,""Nature""),""Nature "","""")&amp;IF(REGEXMATCH($E317,""Mortal""),""Mortal "","""")&amp;IF(REGEXMATCH($E317,""Void""),""Void "","""")&amp;IF(REGEXMATCH($E317,""Unearth|Ambush|Ritual|unearth|ambush|ritua"&amp;"l""),""Unearth "","""")&amp;IF(REGEXMATCH($E317,""Unleash|Crystallize|all realms|Crystalborn|crystallize""),""Ramp "","""")&amp;IF(REGEXMATCH($E317,""Demon""),""Demon "","""")&amp;IF(REGEXMATCH($E317,""bury|buries|Bury|Buries|Cleanse|puts a Unit|trail|Trail""),""Cont"&amp;"rol "","""")&amp;IF(REGEXMATCH($E317,""Bounce|Return|Copy|bounce|return|copy""),""Copy "","""")&amp;IF(REGEXMATCH($E317,""conquer|Conquer|leading in lanes|lead by""),""Aggro "","""")&amp;IF(REGEXMATCH($E317,""Ascend|ascend""),""Ascend "","""")&amp;IF(REGEXMATCH($E317,""B"&amp;"ury .+ Crystal|.*crystal.*bury""),""Empty-Crystal"","""")&amp;IF(REGEXMATCH($E317,""Move|move""),""Move"","""")"),"Undead ")</f>
        <v>Undead </v>
      </c>
      <c r="G317" s="12" t="s">
        <v>1313</v>
      </c>
      <c r="H317" s="11">
        <v>2.0</v>
      </c>
      <c r="I317" s="11" t="s">
        <v>1231</v>
      </c>
      <c r="J317" s="11" t="s">
        <v>50</v>
      </c>
      <c r="L317" s="13" t="str">
        <f>IFERROR(__xludf.DUMMYFUNCTION("IF(REGEXMATCH($B317,L$1),$D317,"""")"),"")</f>
        <v/>
      </c>
      <c r="M317" s="13" t="str">
        <f>IFERROR(__xludf.DUMMYFUNCTION("IF(REGEXMATCH($B317,M$1),$D317,"""")"),"")</f>
        <v/>
      </c>
      <c r="N317" s="13" t="str">
        <f>IFERROR(__xludf.DUMMYFUNCTION("IF(REGEXMATCH($B317,N$1),$D317,"""")"),"Human Undead")</f>
        <v>Human Undead</v>
      </c>
      <c r="O317" s="13" t="str">
        <f>IFERROR(__xludf.DUMMYFUNCTION("IF(REGEXMATCH($B317,O$1),$D317,"""")"),"")</f>
        <v/>
      </c>
      <c r="P317" s="13" t="str">
        <f>IFERROR(__xludf.DUMMYFUNCTION("IF(REGEXMATCH($B317,P$1),$D317,"""")"),"")</f>
        <v/>
      </c>
      <c r="Q317" s="13">
        <f>IFERROR(__xludf.DUMMYFUNCTION("IF($A317="""","""",LEN(REGEXREPLACE($I317,"",\s?"","""")))"),4.0)</f>
        <v>4</v>
      </c>
      <c r="S317" s="13"/>
      <c r="T317" s="13"/>
      <c r="U317" s="13"/>
      <c r="V317" s="13"/>
      <c r="W317" s="13"/>
      <c r="X317" s="13"/>
      <c r="Y317" s="13"/>
      <c r="Z317" s="13"/>
      <c r="AA317" s="13"/>
      <c r="AB317" s="13"/>
    </row>
    <row r="318">
      <c r="A318" s="10" t="s">
        <v>1314</v>
      </c>
      <c r="B318" s="10" t="s">
        <v>13</v>
      </c>
      <c r="C318" s="11">
        <v>1.0</v>
      </c>
      <c r="D318" s="11" t="s">
        <v>1154</v>
      </c>
      <c r="F318" s="10" t="str">
        <f>IFERROR(__xludf.DUMMYFUNCTION("IF(REGEXMATCH($E318,""Wizard""),""Wizard "","""")&amp;IF(REGEXMATCH($E318,""Construct""),""Construct "","""")&amp;IF(REGEXMATCH($E318,""Insect""),""Insect "","""")&amp;IF(REGEXMATCH($E318,""Dragon""),""Dragon "","""")&amp;IF(REGEXMATCH($E318,""Human""),""Human "","""")&amp;I"&amp;"F(REGEXMATCH($E318,""Hunter""),""Hunter "","""")&amp;IF(REGEXMATCH($E318,""Animal""),""Animal "","""")&amp;IF(REGEXMATCH($E318,""Undead""),""Undead "","""")&amp;IF(REGEXMATCH($E318,""Plant""),""Plant "","""")&amp;IF(REGEXMATCH($E318,""Dinosaur""),""Dinosaur "","""")&amp;IF(R"&amp;"EGEXMATCH($E318,""Warrior""),""Warrior "","""")&amp;IF(REGEXMATCH($E318,""Spirit""),""Spirit "","""")&amp;IF(REGEXMATCH($E318,""Angel""),""Angel "","""")&amp;IF(REGEXMATCH($E318,""Demon""),""Demon "","""")&amp;IF(REGEXMATCH($E318,""Divine""),""Divine "","""")&amp;IF(REGEXMAT"&amp;"CH($E318,""Elemental""),""Elemental "","""")&amp;IF(REGEXMATCH($E318,""Nature""),""Nature "","""")&amp;IF(REGEXMATCH($E318,""Mortal""),""Mortal "","""")&amp;IF(REGEXMATCH($E318,""Void""),""Void "","""")&amp;IF(REGEXMATCH($E318,""Unearth|Ambush|Ritual|unearth|ambush|ritua"&amp;"l""),""Unearth "","""")&amp;IF(REGEXMATCH($E318,""Unleash|Crystallize|all realms|Crystalborn|crystallize""),""Ramp "","""")&amp;IF(REGEXMATCH($E318,""Demon""),""Demon "","""")&amp;IF(REGEXMATCH($E318,""bury|buries|Bury|Buries|Cleanse|puts a Unit|trail|Trail""),""Cont"&amp;"rol "","""")&amp;IF(REGEXMATCH($E318,""Bounce|Return|Copy|bounce|return|copy""),""Copy "","""")&amp;IF(REGEXMATCH($E318,""conquer|Conquer|leading in lanes|lead by""),""Aggro "","""")&amp;IF(REGEXMATCH($E318,""Ascend|ascend""),""Ascend "","""")&amp;IF(REGEXMATCH($E318,""B"&amp;"ury .+ Crystal|.*crystal.*bury""),""Empty-Crystal"","""")&amp;IF(REGEXMATCH($E318,""Move|move""),""Move"","""")"),"")</f>
        <v/>
      </c>
      <c r="G318" s="12" t="s">
        <v>1315</v>
      </c>
      <c r="H318" s="11">
        <v>6.0</v>
      </c>
      <c r="I318" s="57" t="s">
        <v>1140</v>
      </c>
      <c r="J318" s="11" t="s">
        <v>42</v>
      </c>
      <c r="L318" s="13" t="str">
        <f>IFERROR(__xludf.DUMMYFUNCTION("IF(REGEXMATCH($B318,L$1),$D318,"""")"),"")</f>
        <v/>
      </c>
      <c r="M318" s="13" t="str">
        <f>IFERROR(__xludf.DUMMYFUNCTION("IF(REGEXMATCH($B318,M$1),$D318,"""")"),"")</f>
        <v/>
      </c>
      <c r="N318" s="13" t="str">
        <f>IFERROR(__xludf.DUMMYFUNCTION("IF(REGEXMATCH($B318,N$1),$D318,"""")"),"Demon Warrior")</f>
        <v>Demon Warrior</v>
      </c>
      <c r="O318" s="13" t="str">
        <f>IFERROR(__xludf.DUMMYFUNCTION("IF(REGEXMATCH($B318,O$1),$D318,"""")"),"")</f>
        <v/>
      </c>
      <c r="P318" s="13" t="str">
        <f>IFERROR(__xludf.DUMMYFUNCTION("IF(REGEXMATCH($B318,P$1),$D318,"""")"),"")</f>
        <v/>
      </c>
      <c r="Q318" s="13">
        <f>IFERROR(__xludf.DUMMYFUNCTION("IF($A318="""","""",LEN(REGEXREPLACE($I318,"",\s?"","""")))"),5.0)</f>
        <v>5</v>
      </c>
      <c r="S318" s="13"/>
      <c r="T318" s="13"/>
      <c r="U318" s="13"/>
      <c r="V318" s="13"/>
      <c r="W318" s="13"/>
      <c r="X318" s="13"/>
      <c r="Y318" s="13"/>
      <c r="Z318" s="13"/>
      <c r="AA318" s="13"/>
      <c r="AB318" s="13"/>
    </row>
    <row r="319">
      <c r="A319" s="10" t="s">
        <v>1316</v>
      </c>
      <c r="B319" s="10" t="s">
        <v>13</v>
      </c>
      <c r="C319" s="11">
        <v>1.0</v>
      </c>
      <c r="D319" s="11" t="s">
        <v>920</v>
      </c>
      <c r="F319" s="10" t="str">
        <f>IFERROR(__xludf.DUMMYFUNCTION("IF(REGEXMATCH($E319,""Wizard""),""Wizard "","""")&amp;IF(REGEXMATCH($E319,""Construct""),""Construct "","""")&amp;IF(REGEXMATCH($E319,""Insect""),""Insect "","""")&amp;IF(REGEXMATCH($E319,""Dragon""),""Dragon "","""")&amp;IF(REGEXMATCH($E319,""Human""),""Human "","""")&amp;I"&amp;"F(REGEXMATCH($E319,""Hunter""),""Hunter "","""")&amp;IF(REGEXMATCH($E319,""Animal""),""Animal "","""")&amp;IF(REGEXMATCH($E319,""Undead""),""Undead "","""")&amp;IF(REGEXMATCH($E319,""Plant""),""Plant "","""")&amp;IF(REGEXMATCH($E319,""Dinosaur""),""Dinosaur "","""")&amp;IF(R"&amp;"EGEXMATCH($E319,""Warrior""),""Warrior "","""")&amp;IF(REGEXMATCH($E319,""Spirit""),""Spirit "","""")&amp;IF(REGEXMATCH($E319,""Angel""),""Angel "","""")&amp;IF(REGEXMATCH($E319,""Demon""),""Demon "","""")&amp;IF(REGEXMATCH($E319,""Divine""),""Divine "","""")&amp;IF(REGEXMAT"&amp;"CH($E319,""Elemental""),""Elemental "","""")&amp;IF(REGEXMATCH($E319,""Nature""),""Nature "","""")&amp;IF(REGEXMATCH($E319,""Mortal""),""Mortal "","""")&amp;IF(REGEXMATCH($E319,""Void""),""Void "","""")&amp;IF(REGEXMATCH($E319,""Unearth|Ambush|Ritual|unearth|ambush|ritua"&amp;"l""),""Unearth "","""")&amp;IF(REGEXMATCH($E319,""Unleash|Crystallize|all realms|Crystalborn|crystallize""),""Ramp "","""")&amp;IF(REGEXMATCH($E319,""Demon""),""Demon "","""")&amp;IF(REGEXMATCH($E319,""bury|buries|Bury|Buries|Cleanse|puts a Unit|trail|Trail""),""Cont"&amp;"rol "","""")&amp;IF(REGEXMATCH($E319,""Bounce|Return|Copy|bounce|return|copy""),""Copy "","""")&amp;IF(REGEXMATCH($E319,""conquer|Conquer|leading in lanes|lead by""),""Aggro "","""")&amp;IF(REGEXMATCH($E319,""Ascend|ascend""),""Ascend "","""")&amp;IF(REGEXMATCH($E319,""B"&amp;"ury .+ Crystal|.*crystal.*bury""),""Empty-Crystal"","""")&amp;IF(REGEXMATCH($E319,""Move|move""),""Move"","""")"),"")</f>
        <v/>
      </c>
      <c r="G319" s="12" t="s">
        <v>1317</v>
      </c>
      <c r="H319" s="11">
        <v>2.0</v>
      </c>
      <c r="I319" s="11" t="s">
        <v>1136</v>
      </c>
      <c r="J319" s="11" t="s">
        <v>42</v>
      </c>
      <c r="L319" s="13" t="str">
        <f>IFERROR(__xludf.DUMMYFUNCTION("IF(REGEXMATCH($B319,L$1),$D319,"""")"),"")</f>
        <v/>
      </c>
      <c r="M319" s="13" t="str">
        <f>IFERROR(__xludf.DUMMYFUNCTION("IF(REGEXMATCH($B319,M$1),$D319,"""")"),"")</f>
        <v/>
      </c>
      <c r="N319" s="13" t="str">
        <f>IFERROR(__xludf.DUMMYFUNCTION("IF(REGEXMATCH($B319,N$1),$D319,"""")"),"Demon Wizard")</f>
        <v>Demon Wizard</v>
      </c>
      <c r="O319" s="13" t="str">
        <f>IFERROR(__xludf.DUMMYFUNCTION("IF(REGEXMATCH($B319,O$1),$D319,"""")"),"")</f>
        <v/>
      </c>
      <c r="P319" s="13" t="str">
        <f>IFERROR(__xludf.DUMMYFUNCTION("IF(REGEXMATCH($B319,P$1),$D319,"""")"),"")</f>
        <v/>
      </c>
      <c r="Q319" s="13">
        <f>IFERROR(__xludf.DUMMYFUNCTION("IF($A319="""","""",LEN(REGEXREPLACE($I319,"",\s?"","""")))"),1.0)</f>
        <v>1</v>
      </c>
      <c r="S319" s="13"/>
      <c r="T319" s="13"/>
      <c r="U319" s="13"/>
      <c r="V319" s="13"/>
      <c r="W319" s="13"/>
      <c r="X319" s="13"/>
      <c r="Y319" s="13"/>
      <c r="Z319" s="13"/>
      <c r="AA319" s="13"/>
      <c r="AB319" s="13"/>
    </row>
    <row r="320" hidden="1">
      <c r="A320" s="19" t="s">
        <v>1318</v>
      </c>
      <c r="B320" s="84" t="s">
        <v>13</v>
      </c>
      <c r="C320" s="18">
        <v>2.0</v>
      </c>
      <c r="D320" s="18" t="s">
        <v>1319</v>
      </c>
      <c r="E320" s="19" t="s">
        <v>1320</v>
      </c>
      <c r="F320" s="10" t="str">
        <f>IFERROR(__xludf.DUMMYFUNCTION("IF(REGEXMATCH($E320,""Wizard""),""Wizard "","""")&amp;IF(REGEXMATCH($E320,""Construct""),""Construct "","""")&amp;IF(REGEXMATCH($E320,""Insect""),""Insect "","""")&amp;IF(REGEXMATCH($E320,""Dragon""),""Dragon "","""")&amp;IF(REGEXMATCH($E320,""Human""),""Human "","""")&amp;I"&amp;"F(REGEXMATCH($E320,""Hunter""),""Hunter "","""")&amp;IF(REGEXMATCH($E320,""Animal""),""Animal "","""")&amp;IF(REGEXMATCH($E320,""Undead""),""Undead "","""")&amp;IF(REGEXMATCH($E320,""Plant""),""Plant "","""")&amp;IF(REGEXMATCH($E320,""Dinosaur""),""Dinosaur "","""")&amp;IF(R"&amp;"EGEXMATCH($E320,""Warrior""),""Warrior "","""")&amp;IF(REGEXMATCH($E320,""Spirit""),""Spirit "","""")&amp;IF(REGEXMATCH($E320,""Angel""),""Angel "","""")&amp;IF(REGEXMATCH($E320,""Demon""),""Demon "","""")&amp;IF(REGEXMATCH($E320,""Divine""),""Divine "","""")&amp;IF(REGEXMAT"&amp;"CH($E320,""Elemental""),""Elemental "","""")&amp;IF(REGEXMATCH($E320,""Nature""),""Nature "","""")&amp;IF(REGEXMATCH($E320,""Mortal""),""Mortal "","""")&amp;IF(REGEXMATCH($E320,""Void""),""Void "","""")&amp;IF(REGEXMATCH($E320,""Unearth|Ambush|Ritual|unearth|ambush|ritua"&amp;"l""),""Unearth "","""")&amp;IF(REGEXMATCH($E320,""Unleash|Crystallize|all realms|Crystalborn|crystallize""),""Ramp "","""")&amp;IF(REGEXMATCH($E320,""Demon""),""Demon "","""")&amp;IF(REGEXMATCH($E320,""bury|buries|Bury|Buries|Cleanse|puts a Unit|trail|Trail""),""Cont"&amp;"rol "","""")&amp;IF(REGEXMATCH($E320,""Bounce|Return|Copy|bounce|return|copy""),""Copy "","""")&amp;IF(REGEXMATCH($E320,""conquer|Conquer|leading in lanes|lead by""),""Aggro "","""")&amp;IF(REGEXMATCH($E320,""Ascend|ascend""),""Ascend "","""")&amp;IF(REGEXMATCH($E320,""B"&amp;"ury .+ Crystal|.*crystal.*bury""),""Empty-Crystal"","""")&amp;IF(REGEXMATCH($E320,""Move|move""),""Move"","""")"),"Void Ascend ")</f>
        <v>Void Ascend </v>
      </c>
      <c r="G320" s="20" t="s">
        <v>1321</v>
      </c>
      <c r="H320" s="18">
        <v>3.0</v>
      </c>
      <c r="I320" s="18" t="s">
        <v>1165</v>
      </c>
      <c r="J320" s="18" t="s">
        <v>42</v>
      </c>
      <c r="L320" s="13" t="str">
        <f>IFERROR(__xludf.DUMMYFUNCTION("IF(REGEXMATCH($B320,L$1),$D320,"""")"),"")</f>
        <v/>
      </c>
      <c r="M320" s="13" t="str">
        <f>IFERROR(__xludf.DUMMYFUNCTION("IF(REGEXMATCH($B320,M$1),$D320,"""")"),"")</f>
        <v/>
      </c>
      <c r="N320" s="13" t="str">
        <f>IFERROR(__xludf.DUMMYFUNCTION("IF(REGEXMATCH($B320,N$1),$D320,"""")"),"Plant Undead")</f>
        <v>Plant Undead</v>
      </c>
      <c r="O320" s="13" t="str">
        <f>IFERROR(__xludf.DUMMYFUNCTION("IF(REGEXMATCH($B320,O$1),$D320,"""")"),"")</f>
        <v/>
      </c>
      <c r="P320" s="13" t="str">
        <f>IFERROR(__xludf.DUMMYFUNCTION("IF(REGEXMATCH($B320,P$1),$D320,"""")"),"")</f>
        <v/>
      </c>
      <c r="Q320" s="13">
        <f>IFERROR(__xludf.DUMMYFUNCTION("IF($A320="""","""",LEN(REGEXREPLACE($I320,"",\s?"","""")))"),3.0)</f>
        <v>3</v>
      </c>
      <c r="S320" s="13"/>
      <c r="T320" s="13"/>
      <c r="U320" s="13"/>
      <c r="V320" s="13"/>
      <c r="W320" s="13"/>
      <c r="X320" s="13"/>
      <c r="Y320" s="13"/>
      <c r="Z320" s="13"/>
      <c r="AA320" s="13"/>
      <c r="AB320" s="13"/>
    </row>
    <row r="321">
      <c r="A321" s="10" t="s">
        <v>1322</v>
      </c>
      <c r="B321" s="10" t="s">
        <v>13</v>
      </c>
      <c r="C321" s="11">
        <v>1.0</v>
      </c>
      <c r="D321" s="25" t="s">
        <v>1120</v>
      </c>
      <c r="E321" s="10" t="s">
        <v>1323</v>
      </c>
      <c r="F321" s="10" t="str">
        <f>IFERROR(__xludf.DUMMYFUNCTION("IF(REGEXMATCH($E321,""Wizard""),""Wizard "","""")&amp;IF(REGEXMATCH($E321,""Construct""),""Construct "","""")&amp;IF(REGEXMATCH($E321,""Insect""),""Insect "","""")&amp;IF(REGEXMATCH($E321,""Dragon""),""Dragon "","""")&amp;IF(REGEXMATCH($E321,""Human""),""Human "","""")&amp;I"&amp;"F(REGEXMATCH($E321,""Hunter""),""Hunter "","""")&amp;IF(REGEXMATCH($E321,""Animal""),""Animal "","""")&amp;IF(REGEXMATCH($E321,""Undead""),""Undead "","""")&amp;IF(REGEXMATCH($E321,""Plant""),""Plant "","""")&amp;IF(REGEXMATCH($E321,""Dinosaur""),""Dinosaur "","""")&amp;IF(R"&amp;"EGEXMATCH($E321,""Warrior""),""Warrior "","""")&amp;IF(REGEXMATCH($E321,""Spirit""),""Spirit "","""")&amp;IF(REGEXMATCH($E321,""Angel""),""Angel "","""")&amp;IF(REGEXMATCH($E321,""Demon""),""Demon "","""")&amp;IF(REGEXMATCH($E321,""Divine""),""Divine "","""")&amp;IF(REGEXMAT"&amp;"CH($E321,""Elemental""),""Elemental "","""")&amp;IF(REGEXMATCH($E321,""Nature""),""Nature "","""")&amp;IF(REGEXMATCH($E321,""Mortal""),""Mortal "","""")&amp;IF(REGEXMATCH($E321,""Void""),""Void "","""")&amp;IF(REGEXMATCH($E321,""Unearth|Ambush|Ritual|unearth|ambush|ritua"&amp;"l""),""Unearth "","""")&amp;IF(REGEXMATCH($E321,""Unleash|Crystallize|all realms|Crystalborn|crystallize""),""Ramp "","""")&amp;IF(REGEXMATCH($E321,""Demon""),""Demon "","""")&amp;IF(REGEXMATCH($E321,""bury|buries|Bury|Buries|Cleanse|puts a Unit|trail|Trail""),""Cont"&amp;"rol "","""")&amp;IF(REGEXMATCH($E321,""Bounce|Return|Copy|bounce|return|copy""),""Copy "","""")&amp;IF(REGEXMATCH($E321,""conquer|Conquer|leading in lanes|lead by""),""Aggro "","""")&amp;IF(REGEXMATCH($E321,""Ascend|ascend""),""Ascend "","""")&amp;IF(REGEXMATCH($E321,""B"&amp;"ury .+ Crystal|.*crystal.*bury""),""Empty-Crystal"","""")&amp;IF(REGEXMATCH($E321,""Move|move""),""Move"","""")"),"")</f>
        <v/>
      </c>
      <c r="G321" s="86" t="s">
        <v>1324</v>
      </c>
      <c r="H321" s="11">
        <v>4.0</v>
      </c>
      <c r="I321" s="11" t="s">
        <v>1277</v>
      </c>
      <c r="J321" s="18" t="s">
        <v>42</v>
      </c>
      <c r="L321" s="13" t="str">
        <f>IFERROR(__xludf.DUMMYFUNCTION("IF(REGEXMATCH($B321,L$1),$D321,"""")"),"")</f>
        <v/>
      </c>
      <c r="M321" s="13" t="str">
        <f>IFERROR(__xludf.DUMMYFUNCTION("IF(REGEXMATCH($B321,M$1),$D321,"""")"),"")</f>
        <v/>
      </c>
      <c r="N321" s="13" t="str">
        <f>IFERROR(__xludf.DUMMYFUNCTION("IF(REGEXMATCH($B321,N$1),$D321,"""")"),"Dinosaur Undead")</f>
        <v>Dinosaur Undead</v>
      </c>
      <c r="O321" s="13" t="str">
        <f>IFERROR(__xludf.DUMMYFUNCTION("IF(REGEXMATCH($B321,O$1),$D321,"""")"),"")</f>
        <v/>
      </c>
      <c r="P321" s="13" t="str">
        <f>IFERROR(__xludf.DUMMYFUNCTION("IF(REGEXMATCH($B321,P$1),$D321,"""")"),"")</f>
        <v/>
      </c>
      <c r="Q321" s="13">
        <f>IFERROR(__xludf.DUMMYFUNCTION("IF($A321="""","""",LEN(REGEXREPLACE($I321,"",\s?"","""")))"),4.0)</f>
        <v>4</v>
      </c>
      <c r="S321" s="13"/>
      <c r="T321" s="13"/>
      <c r="U321" s="13"/>
      <c r="V321" s="13"/>
      <c r="W321" s="13"/>
      <c r="X321" s="13"/>
      <c r="Y321" s="13"/>
      <c r="Z321" s="13"/>
      <c r="AA321" s="13"/>
      <c r="AB321" s="13"/>
    </row>
    <row r="322" hidden="1">
      <c r="A322" s="10" t="s">
        <v>1325</v>
      </c>
      <c r="B322" s="83" t="s">
        <v>13</v>
      </c>
      <c r="C322" s="11">
        <v>2.0</v>
      </c>
      <c r="D322" s="11" t="s">
        <v>1282</v>
      </c>
      <c r="E322" s="10" t="s">
        <v>1326</v>
      </c>
      <c r="F322" s="10" t="str">
        <f>IFERROR(__xludf.DUMMYFUNCTION("IF(REGEXMATCH($E322,""Wizard""),""Wizard "","""")&amp;IF(REGEXMATCH($E322,""Construct""),""Construct "","""")&amp;IF(REGEXMATCH($E322,""Insect""),""Insect "","""")&amp;IF(REGEXMATCH($E322,""Dragon""),""Dragon "","""")&amp;IF(REGEXMATCH($E322,""Human""),""Human "","""")&amp;I"&amp;"F(REGEXMATCH($E322,""Hunter""),""Hunter "","""")&amp;IF(REGEXMATCH($E322,""Animal""),""Animal "","""")&amp;IF(REGEXMATCH($E322,""Undead""),""Undead "","""")&amp;IF(REGEXMATCH($E322,""Plant""),""Plant "","""")&amp;IF(REGEXMATCH($E322,""Dinosaur""),""Dinosaur "","""")&amp;IF(R"&amp;"EGEXMATCH($E322,""Warrior""),""Warrior "","""")&amp;IF(REGEXMATCH($E322,""Spirit""),""Spirit "","""")&amp;IF(REGEXMATCH($E322,""Angel""),""Angel "","""")&amp;IF(REGEXMATCH($E322,""Demon""),""Demon "","""")&amp;IF(REGEXMATCH($E322,""Divine""),""Divine "","""")&amp;IF(REGEXMAT"&amp;"CH($E322,""Elemental""),""Elemental "","""")&amp;IF(REGEXMATCH($E322,""Nature""),""Nature "","""")&amp;IF(REGEXMATCH($E322,""Mortal""),""Mortal "","""")&amp;IF(REGEXMATCH($E322,""Void""),""Void "","""")&amp;IF(REGEXMATCH($E322,""Unearth|Ambush|Ritual|unearth|ambush|ritua"&amp;"l""),""Unearth "","""")&amp;IF(REGEXMATCH($E322,""Unleash|Crystallize|all realms|Crystalborn|crystallize""),""Ramp "","""")&amp;IF(REGEXMATCH($E322,""Demon""),""Demon "","""")&amp;IF(REGEXMATCH($E322,""bury|buries|Bury|Buries|Cleanse|puts a Unit|trail|Trail""),""Cont"&amp;"rol "","""")&amp;IF(REGEXMATCH($E322,""Bounce|Return|Copy|bounce|return|copy""),""Copy "","""")&amp;IF(REGEXMATCH($E322,""conquer|Conquer|leading in lanes|lead by""),""Aggro "","""")&amp;IF(REGEXMATCH($E322,""Ascend|ascend""),""Ascend "","""")&amp;IF(REGEXMATCH($E322,""B"&amp;"ury .+ Crystal|.*crystal.*bury""),""Empty-Crystal"","""")&amp;IF(REGEXMATCH($E322,""Move|move""),""Move"","""")"),"Demon Demon Ascend ")</f>
        <v>Demon Demon Ascend </v>
      </c>
      <c r="G322" s="12" t="s">
        <v>1327</v>
      </c>
      <c r="H322" s="11">
        <v>4.0</v>
      </c>
      <c r="I322" s="11" t="s">
        <v>1140</v>
      </c>
      <c r="J322" s="11" t="s">
        <v>50</v>
      </c>
      <c r="L322" s="13" t="str">
        <f>IFERROR(__xludf.DUMMYFUNCTION("IF(REGEXMATCH($B322,L$1),$D322,"""")"),"")</f>
        <v/>
      </c>
      <c r="M322" s="13" t="str">
        <f>IFERROR(__xludf.DUMMYFUNCTION("IF(REGEXMATCH($B322,M$1),$D322,"""")"),"")</f>
        <v/>
      </c>
      <c r="N322" s="13" t="str">
        <f>IFERROR(__xludf.DUMMYFUNCTION("IF(REGEXMATCH($B322,N$1),$D322,"""")"),"Demon Hunter")</f>
        <v>Demon Hunter</v>
      </c>
      <c r="O322" s="13" t="str">
        <f>IFERROR(__xludf.DUMMYFUNCTION("IF(REGEXMATCH($B322,O$1),$D322,"""")"),"")</f>
        <v/>
      </c>
      <c r="P322" s="13" t="str">
        <f>IFERROR(__xludf.DUMMYFUNCTION("IF(REGEXMATCH($B322,P$1),$D322,"""")"),"")</f>
        <v/>
      </c>
      <c r="Q322" s="13">
        <f>IFERROR(__xludf.DUMMYFUNCTION("IF($A322="""","""",LEN(REGEXREPLACE($I322,"",\s?"","""")))"),5.0)</f>
        <v>5</v>
      </c>
      <c r="S322" s="13"/>
      <c r="T322" s="13"/>
      <c r="U322" s="13"/>
      <c r="V322" s="13"/>
      <c r="W322" s="13"/>
      <c r="X322" s="13"/>
      <c r="Y322" s="13"/>
      <c r="Z322" s="13"/>
      <c r="AA322" s="13"/>
      <c r="AB322" s="13"/>
    </row>
    <row r="323" hidden="1">
      <c r="A323" s="19" t="s">
        <v>1328</v>
      </c>
      <c r="B323" s="83" t="s">
        <v>13</v>
      </c>
      <c r="C323" s="11">
        <v>2.0</v>
      </c>
      <c r="D323" s="18" t="s">
        <v>1329</v>
      </c>
      <c r="E323" s="19" t="s">
        <v>1330</v>
      </c>
      <c r="F323" s="10" t="str">
        <f>IFERROR(__xludf.DUMMYFUNCTION("IF(REGEXMATCH($E323,""Wizard""),""Wizard "","""")&amp;IF(REGEXMATCH($E323,""Construct""),""Construct "","""")&amp;IF(REGEXMATCH($E323,""Insect""),""Insect "","""")&amp;IF(REGEXMATCH($E323,""Dragon""),""Dragon "","""")&amp;IF(REGEXMATCH($E323,""Human""),""Human "","""")&amp;I"&amp;"F(REGEXMATCH($E323,""Hunter""),""Hunter "","""")&amp;IF(REGEXMATCH($E323,""Animal""),""Animal "","""")&amp;IF(REGEXMATCH($E323,""Undead""),""Undead "","""")&amp;IF(REGEXMATCH($E323,""Plant""),""Plant "","""")&amp;IF(REGEXMATCH($E323,""Dinosaur""),""Dinosaur "","""")&amp;IF(R"&amp;"EGEXMATCH($E323,""Warrior""),""Warrior "","""")&amp;IF(REGEXMATCH($E323,""Spirit""),""Spirit "","""")&amp;IF(REGEXMATCH($E323,""Angel""),""Angel "","""")&amp;IF(REGEXMATCH($E323,""Demon""),""Demon "","""")&amp;IF(REGEXMATCH($E323,""Divine""),""Divine "","""")&amp;IF(REGEXMAT"&amp;"CH($E323,""Elemental""),""Elemental "","""")&amp;IF(REGEXMATCH($E323,""Nature""),""Nature "","""")&amp;IF(REGEXMATCH($E323,""Mortal""),""Mortal "","""")&amp;IF(REGEXMATCH($E323,""Void""),""Void "","""")&amp;IF(REGEXMATCH($E323,""Unearth|Ambush|Ritual|unearth|ambush|ritua"&amp;"l""),""Unearth "","""")&amp;IF(REGEXMATCH($E323,""Unleash|Crystallize|all realms|Crystalborn|crystallize""),""Ramp "","""")&amp;IF(REGEXMATCH($E323,""Demon""),""Demon "","""")&amp;IF(REGEXMATCH($E323,""bury|buries|Bury|Buries|Cleanse|puts a Unit|trail|Trail""),""Cont"&amp;"rol "","""")&amp;IF(REGEXMATCH($E323,""Bounce|Return|Copy|bounce|return|copy""),""Copy "","""")&amp;IF(REGEXMATCH($E323,""conquer|Conquer|leading in lanes|lead by""),""Aggro "","""")&amp;IF(REGEXMATCH($E323,""Ascend|ascend""),""Ascend "","""")&amp;IF(REGEXMATCH($E323,""B"&amp;"ury .+ Crystal|.*crystal.*bury""),""Empty-Crystal"","""")&amp;IF(REGEXMATCH($E323,""Move|move""),""Move"","""")"),"")</f>
        <v/>
      </c>
      <c r="G323" s="20" t="s">
        <v>1331</v>
      </c>
      <c r="H323" s="18">
        <v>2.0</v>
      </c>
      <c r="I323" s="18" t="s">
        <v>1169</v>
      </c>
      <c r="J323" s="18" t="s">
        <v>42</v>
      </c>
      <c r="L323" s="13" t="str">
        <f>IFERROR(__xludf.DUMMYFUNCTION("IF(REGEXMATCH($B323,L$1),$D323,"""")"),"")</f>
        <v/>
      </c>
      <c r="M323" s="13" t="str">
        <f>IFERROR(__xludf.DUMMYFUNCTION("IF(REGEXMATCH($B323,M$1),$D323,"""")"),"")</f>
        <v/>
      </c>
      <c r="N323" s="13" t="str">
        <f>IFERROR(__xludf.DUMMYFUNCTION("IF(REGEXMATCH($B323,N$1),$D323,"""")"),"Undead Wizard")</f>
        <v>Undead Wizard</v>
      </c>
      <c r="O323" s="13" t="str">
        <f>IFERROR(__xludf.DUMMYFUNCTION("IF(REGEXMATCH($B323,O$1),$D323,"""")"),"")</f>
        <v/>
      </c>
      <c r="P323" s="13" t="str">
        <f>IFERROR(__xludf.DUMMYFUNCTION("IF(REGEXMATCH($B323,P$1),$D323,"""")"),"")</f>
        <v/>
      </c>
      <c r="Q323" s="13">
        <f>IFERROR(__xludf.DUMMYFUNCTION("IF($A323="""","""",LEN(REGEXREPLACE($I323,"",\s?"","""")))"),2.0)</f>
        <v>2</v>
      </c>
      <c r="S323" s="13"/>
      <c r="T323" s="13"/>
      <c r="U323" s="13"/>
      <c r="V323" s="13"/>
      <c r="W323" s="13"/>
      <c r="X323" s="13"/>
      <c r="Y323" s="13"/>
      <c r="Z323" s="13"/>
      <c r="AA323" s="13"/>
      <c r="AB323" s="13"/>
    </row>
    <row r="324">
      <c r="A324" s="10" t="s">
        <v>1332</v>
      </c>
      <c r="B324" s="10" t="s">
        <v>13</v>
      </c>
      <c r="C324" s="11">
        <v>1.0</v>
      </c>
      <c r="D324" s="11" t="s">
        <v>345</v>
      </c>
      <c r="E324" s="10" t="s">
        <v>1333</v>
      </c>
      <c r="F324" s="10" t="str">
        <f>IFERROR(__xludf.DUMMYFUNCTION("IF(REGEXMATCH($E324,""Wizard""),""Wizard "","""")&amp;IF(REGEXMATCH($E324,""Construct""),""Construct "","""")&amp;IF(REGEXMATCH($E324,""Insect""),""Insect "","""")&amp;IF(REGEXMATCH($E324,""Dragon""),""Dragon "","""")&amp;IF(REGEXMATCH($E324,""Human""),""Human "","""")&amp;I"&amp;"F(REGEXMATCH($E324,""Hunter""),""Hunter "","""")&amp;IF(REGEXMATCH($E324,""Animal""),""Animal "","""")&amp;IF(REGEXMATCH($E324,""Undead""),""Undead "","""")&amp;IF(REGEXMATCH($E324,""Plant""),""Plant "","""")&amp;IF(REGEXMATCH($E324,""Dinosaur""),""Dinosaur "","""")&amp;IF(R"&amp;"EGEXMATCH($E324,""Warrior""),""Warrior "","""")&amp;IF(REGEXMATCH($E324,""Spirit""),""Spirit "","""")&amp;IF(REGEXMATCH($E324,""Angel""),""Angel "","""")&amp;IF(REGEXMATCH($E324,""Demon""),""Demon "","""")&amp;IF(REGEXMATCH($E324,""Divine""),""Divine "","""")&amp;IF(REGEXMAT"&amp;"CH($E324,""Elemental""),""Elemental "","""")&amp;IF(REGEXMATCH($E324,""Nature""),""Nature "","""")&amp;IF(REGEXMATCH($E324,""Mortal""),""Mortal "","""")&amp;IF(REGEXMATCH($E324,""Void""),""Void "","""")&amp;IF(REGEXMATCH($E324,""Unearth|Ambush|Ritual|unearth|ambush|ritua"&amp;"l""),""Unearth "","""")&amp;IF(REGEXMATCH($E324,""Unleash|Crystallize|all realms|Crystalborn|crystallize""),""Ramp "","""")&amp;IF(REGEXMATCH($E324,""Demon""),""Demon "","""")&amp;IF(REGEXMATCH($E324,""bury|buries|Bury|Buries|Cleanse|puts a Unit|trail|Trail""),""Cont"&amp;"rol "","""")&amp;IF(REGEXMATCH($E324,""Bounce|Return|Copy|bounce|return|copy""),""Copy "","""")&amp;IF(REGEXMATCH($E324,""conquer|Conquer|leading in lanes|lead by""),""Aggro "","""")&amp;IF(REGEXMATCH($E324,""Ascend|ascend""),""Ascend "","""")&amp;IF(REGEXMATCH($E324,""B"&amp;"ury .+ Crystal|.*crystal.*bury""),""Empty-Crystal"","""")&amp;IF(REGEXMATCH($E324,""Move|move""),""Move"","""")"),"Demon Demon ")</f>
        <v>Demon Demon </v>
      </c>
      <c r="G324" s="12" t="s">
        <v>1334</v>
      </c>
      <c r="H324" s="11">
        <v>3.0</v>
      </c>
      <c r="I324" s="11" t="s">
        <v>1277</v>
      </c>
      <c r="J324" s="11" t="s">
        <v>50</v>
      </c>
      <c r="L324" s="13" t="str">
        <f>IFERROR(__xludf.DUMMYFUNCTION("IF(REGEXMATCH($B324,L$1),$D324,"""")"),"")</f>
        <v/>
      </c>
      <c r="M324" s="13" t="str">
        <f>IFERROR(__xludf.DUMMYFUNCTION("IF(REGEXMATCH($B324,M$1),$D324,"""")"),"")</f>
        <v/>
      </c>
      <c r="N324" s="13" t="str">
        <f>IFERROR(__xludf.DUMMYFUNCTION("IF(REGEXMATCH($B324,N$1),$D324,"""")"),"Human Wizard")</f>
        <v>Human Wizard</v>
      </c>
      <c r="O324" s="13" t="str">
        <f>IFERROR(__xludf.DUMMYFUNCTION("IF(REGEXMATCH($B324,O$1),$D324,"""")"),"")</f>
        <v/>
      </c>
      <c r="P324" s="13" t="str">
        <f>IFERROR(__xludf.DUMMYFUNCTION("IF(REGEXMATCH($B324,P$1),$D324,"""")"),"")</f>
        <v/>
      </c>
      <c r="Q324" s="13">
        <f>IFERROR(__xludf.DUMMYFUNCTION("IF($A324="""","""",LEN(REGEXREPLACE($I324,"",\s?"","""")))"),4.0)</f>
        <v>4</v>
      </c>
      <c r="S324" s="13"/>
      <c r="T324" s="13"/>
      <c r="U324" s="13"/>
      <c r="V324" s="13"/>
      <c r="W324" s="13"/>
      <c r="X324" s="13"/>
      <c r="Y324" s="13"/>
      <c r="Z324" s="13"/>
      <c r="AA324" s="13"/>
      <c r="AB324" s="13"/>
    </row>
    <row r="325">
      <c r="A325" s="10" t="s">
        <v>1335</v>
      </c>
      <c r="B325" s="10" t="s">
        <v>13</v>
      </c>
      <c r="C325" s="11">
        <v>1.0</v>
      </c>
      <c r="D325" s="11" t="s">
        <v>1011</v>
      </c>
      <c r="E325" s="10" t="s">
        <v>1336</v>
      </c>
      <c r="F325" s="10" t="str">
        <f>IFERROR(__xludf.DUMMYFUNCTION("IF(REGEXMATCH($E325,""Wizard""),""Wizard "","""")&amp;IF(REGEXMATCH($E325,""Construct""),""Construct "","""")&amp;IF(REGEXMATCH($E325,""Insect""),""Insect "","""")&amp;IF(REGEXMATCH($E325,""Dragon""),""Dragon "","""")&amp;IF(REGEXMATCH($E325,""Human""),""Human "","""")&amp;I"&amp;"F(REGEXMATCH($E325,""Hunter""),""Hunter "","""")&amp;IF(REGEXMATCH($E325,""Animal""),""Animal "","""")&amp;IF(REGEXMATCH($E325,""Undead""),""Undead "","""")&amp;IF(REGEXMATCH($E325,""Plant""),""Plant "","""")&amp;IF(REGEXMATCH($E325,""Dinosaur""),""Dinosaur "","""")&amp;IF(R"&amp;"EGEXMATCH($E325,""Warrior""),""Warrior "","""")&amp;IF(REGEXMATCH($E325,""Spirit""),""Spirit "","""")&amp;IF(REGEXMATCH($E325,""Angel""),""Angel "","""")&amp;IF(REGEXMATCH($E325,""Demon""),""Demon "","""")&amp;IF(REGEXMATCH($E325,""Divine""),""Divine "","""")&amp;IF(REGEXMAT"&amp;"CH($E325,""Elemental""),""Elemental "","""")&amp;IF(REGEXMATCH($E325,""Nature""),""Nature "","""")&amp;IF(REGEXMATCH($E325,""Mortal""),""Mortal "","""")&amp;IF(REGEXMATCH($E325,""Void""),""Void "","""")&amp;IF(REGEXMATCH($E325,""Unearth|Ambush|Ritual|unearth|ambush|ritua"&amp;"l""),""Unearth "","""")&amp;IF(REGEXMATCH($E325,""Unleash|Crystallize|all realms|Crystalborn|crystallize""),""Ramp "","""")&amp;IF(REGEXMATCH($E325,""Demon""),""Demon "","""")&amp;IF(REGEXMATCH($E325,""bury|buries|Bury|Buries|Cleanse|puts a Unit|trail|Trail""),""Cont"&amp;"rol "","""")&amp;IF(REGEXMATCH($E325,""Bounce|Return|Copy|bounce|return|copy""),""Copy "","""")&amp;IF(REGEXMATCH($E325,""conquer|Conquer|leading in lanes|lead by""),""Aggro "","""")&amp;IF(REGEXMATCH($E325,""Ascend|ascend""),""Ascend "","""")&amp;IF(REGEXMATCH($E325,""B"&amp;"ury .+ Crystal|.*crystal.*bury""),""Empty-Crystal"","""")&amp;IF(REGEXMATCH($E325,""Move|move""),""Move"","""")"),"Unearth Copy ")</f>
        <v>Unearth Copy </v>
      </c>
      <c r="G325" s="12" t="s">
        <v>1337</v>
      </c>
      <c r="H325" s="11">
        <v>4.0</v>
      </c>
      <c r="I325" s="11" t="s">
        <v>1231</v>
      </c>
      <c r="J325" s="11" t="s">
        <v>42</v>
      </c>
      <c r="L325" s="13" t="str">
        <f>IFERROR(__xludf.DUMMYFUNCTION("IF(REGEXMATCH($B325,L$1),$D325,"""")"),"")</f>
        <v/>
      </c>
      <c r="M325" s="13" t="str">
        <f>IFERROR(__xludf.DUMMYFUNCTION("IF(REGEXMATCH($B325,M$1),$D325,"""")"),"")</f>
        <v/>
      </c>
      <c r="N325" s="13" t="str">
        <f>IFERROR(__xludf.DUMMYFUNCTION("IF(REGEXMATCH($B325,N$1),$D325,"""")"),"Hunter Insect")</f>
        <v>Hunter Insect</v>
      </c>
      <c r="O325" s="13" t="str">
        <f>IFERROR(__xludf.DUMMYFUNCTION("IF(REGEXMATCH($B325,O$1),$D325,"""")"),"")</f>
        <v/>
      </c>
      <c r="P325" s="13" t="str">
        <f>IFERROR(__xludf.DUMMYFUNCTION("IF(REGEXMATCH($B325,P$1),$D325,"""")"),"")</f>
        <v/>
      </c>
      <c r="Q325" s="13">
        <f>IFERROR(__xludf.DUMMYFUNCTION("IF($A325="""","""",LEN(REGEXREPLACE($I325,"",\s?"","""")))"),4.0)</f>
        <v>4</v>
      </c>
      <c r="S325" s="13"/>
      <c r="T325" s="13"/>
      <c r="U325" s="13"/>
      <c r="V325" s="13"/>
      <c r="W325" s="13"/>
      <c r="X325" s="13"/>
      <c r="Y325" s="13"/>
      <c r="Z325" s="13"/>
      <c r="AA325" s="13"/>
      <c r="AB325" s="13"/>
    </row>
    <row r="326" hidden="1">
      <c r="A326" s="19" t="s">
        <v>1338</v>
      </c>
      <c r="B326" s="84" t="s">
        <v>13</v>
      </c>
      <c r="C326" s="18">
        <v>2.0</v>
      </c>
      <c r="D326" s="18" t="s">
        <v>107</v>
      </c>
      <c r="E326" s="19" t="s">
        <v>1339</v>
      </c>
      <c r="F326" s="10" t="str">
        <f>IFERROR(__xludf.DUMMYFUNCTION("IF(REGEXMATCH($E326,""Wizard""),""Wizard "","""")&amp;IF(REGEXMATCH($E326,""Construct""),""Construct "","""")&amp;IF(REGEXMATCH($E326,""Insect""),""Insect "","""")&amp;IF(REGEXMATCH($E326,""Dragon""),""Dragon "","""")&amp;IF(REGEXMATCH($E326,""Human""),""Human "","""")&amp;I"&amp;"F(REGEXMATCH($E326,""Hunter""),""Hunter "","""")&amp;IF(REGEXMATCH($E326,""Animal""),""Animal "","""")&amp;IF(REGEXMATCH($E326,""Undead""),""Undead "","""")&amp;IF(REGEXMATCH($E326,""Plant""),""Plant "","""")&amp;IF(REGEXMATCH($E326,""Dinosaur""),""Dinosaur "","""")&amp;IF(R"&amp;"EGEXMATCH($E326,""Warrior""),""Warrior "","""")&amp;IF(REGEXMATCH($E326,""Spirit""),""Spirit "","""")&amp;IF(REGEXMATCH($E326,""Angel""),""Angel "","""")&amp;IF(REGEXMATCH($E326,""Demon""),""Demon "","""")&amp;IF(REGEXMATCH($E326,""Divine""),""Divine "","""")&amp;IF(REGEXMAT"&amp;"CH($E326,""Elemental""),""Elemental "","""")&amp;IF(REGEXMATCH($E326,""Nature""),""Nature "","""")&amp;IF(REGEXMATCH($E326,""Mortal""),""Mortal "","""")&amp;IF(REGEXMATCH($E326,""Void""),""Void "","""")&amp;IF(REGEXMATCH($E326,""Unearth|Ambush|Ritual|unearth|ambush|ritua"&amp;"l""),""Unearth "","""")&amp;IF(REGEXMATCH($E326,""Unleash|Crystallize|all realms|Crystalborn|crystallize""),""Ramp "","""")&amp;IF(REGEXMATCH($E326,""Demon""),""Demon "","""")&amp;IF(REGEXMATCH($E326,""bury|buries|Bury|Buries|Cleanse|puts a Unit|trail|Trail""),""Cont"&amp;"rol "","""")&amp;IF(REGEXMATCH($E326,""Bounce|Return|Copy|bounce|return|copy""),""Copy "","""")&amp;IF(REGEXMATCH($E326,""conquer|Conquer|leading in lanes|lead by""),""Aggro "","""")&amp;IF(REGEXMATCH($E326,""Ascend|ascend""),""Ascend "","""")&amp;IF(REGEXMATCH($E326,""B"&amp;"ury .+ Crystal|.*crystal.*bury""),""Empty-Crystal"","""")&amp;IF(REGEXMATCH($E326,""Move|move""),""Move"","""")"),"")</f>
        <v/>
      </c>
      <c r="G326" s="20" t="s">
        <v>1340</v>
      </c>
      <c r="H326" s="18">
        <v>0.0</v>
      </c>
      <c r="I326" s="18" t="s">
        <v>1231</v>
      </c>
      <c r="J326" s="18" t="s">
        <v>50</v>
      </c>
      <c r="L326" s="13" t="str">
        <f>IFERROR(__xludf.DUMMYFUNCTION("IF(REGEXMATCH($B326,L$1),$D326,"""")"),"")</f>
        <v/>
      </c>
      <c r="M326" s="13" t="str">
        <f>IFERROR(__xludf.DUMMYFUNCTION("IF(REGEXMATCH($B326,M$1),$D326,"""")"),"")</f>
        <v/>
      </c>
      <c r="N326" s="13" t="str">
        <f>IFERROR(__xludf.DUMMYFUNCTION("IF(REGEXMATCH($B326,N$1),$D326,"""")"),"Construct Demon")</f>
        <v>Construct Demon</v>
      </c>
      <c r="O326" s="13" t="str">
        <f>IFERROR(__xludf.DUMMYFUNCTION("IF(REGEXMATCH($B326,O$1),$D326,"""")"),"")</f>
        <v/>
      </c>
      <c r="P326" s="13" t="str">
        <f>IFERROR(__xludf.DUMMYFUNCTION("IF(REGEXMATCH($B326,P$1),$D326,"""")"),"")</f>
        <v/>
      </c>
      <c r="Q326" s="13">
        <f>IFERROR(__xludf.DUMMYFUNCTION("IF($A326="""","""",LEN(REGEXREPLACE($I326,"",\s?"","""")))"),4.0)</f>
        <v>4</v>
      </c>
      <c r="S326" s="13"/>
      <c r="T326" s="13"/>
      <c r="U326" s="13"/>
      <c r="V326" s="13"/>
      <c r="W326" s="13"/>
      <c r="X326" s="13"/>
      <c r="Y326" s="13"/>
      <c r="Z326" s="13"/>
      <c r="AA326" s="13"/>
      <c r="AB326" s="13"/>
    </row>
    <row r="327">
      <c r="A327" s="10" t="s">
        <v>1341</v>
      </c>
      <c r="B327" s="10" t="s">
        <v>13</v>
      </c>
      <c r="C327" s="11">
        <v>1.0</v>
      </c>
      <c r="D327" s="18" t="s">
        <v>1342</v>
      </c>
      <c r="E327" s="19" t="s">
        <v>1343</v>
      </c>
      <c r="F327" s="10" t="str">
        <f>IFERROR(__xludf.DUMMYFUNCTION("IF(REGEXMATCH($E327,""Wizard""),""Wizard "","""")&amp;IF(REGEXMATCH($E327,""Construct""),""Construct "","""")&amp;IF(REGEXMATCH($E327,""Insect""),""Insect "","""")&amp;IF(REGEXMATCH($E327,""Dragon""),""Dragon "","""")&amp;IF(REGEXMATCH($E327,""Human""),""Human "","""")&amp;I"&amp;"F(REGEXMATCH($E327,""Hunter""),""Hunter "","""")&amp;IF(REGEXMATCH($E327,""Animal""),""Animal "","""")&amp;IF(REGEXMATCH($E327,""Undead""),""Undead "","""")&amp;IF(REGEXMATCH($E327,""Plant""),""Plant "","""")&amp;IF(REGEXMATCH($E327,""Dinosaur""),""Dinosaur "","""")&amp;IF(R"&amp;"EGEXMATCH($E327,""Warrior""),""Warrior "","""")&amp;IF(REGEXMATCH($E327,""Spirit""),""Spirit "","""")&amp;IF(REGEXMATCH($E327,""Angel""),""Angel "","""")&amp;IF(REGEXMATCH($E327,""Demon""),""Demon "","""")&amp;IF(REGEXMATCH($E327,""Divine""),""Divine "","""")&amp;IF(REGEXMAT"&amp;"CH($E327,""Elemental""),""Elemental "","""")&amp;IF(REGEXMATCH($E327,""Nature""),""Nature "","""")&amp;IF(REGEXMATCH($E327,""Mortal""),""Mortal "","""")&amp;IF(REGEXMATCH($E327,""Void""),""Void "","""")&amp;IF(REGEXMATCH($E327,""Unearth|Ambush|Ritual|unearth|ambush|ritua"&amp;"l""),""Unearth "","""")&amp;IF(REGEXMATCH($E327,""Unleash|Crystallize|all realms|Crystalborn|crystallize""),""Ramp "","""")&amp;IF(REGEXMATCH($E327,""Demon""),""Demon "","""")&amp;IF(REGEXMATCH($E327,""bury|buries|Bury|Buries|Cleanse|puts a Unit|trail|Trail""),""Cont"&amp;"rol "","""")&amp;IF(REGEXMATCH($E327,""Bounce|Return|Copy|bounce|return|copy""),""Copy "","""")&amp;IF(REGEXMATCH($E327,""conquer|Conquer|leading in lanes|lead by""),""Aggro "","""")&amp;IF(REGEXMATCH($E327,""Ascend|ascend""),""Ascend "","""")&amp;IF(REGEXMATCH($E327,""B"&amp;"ury .+ Crystal|.*crystal.*bury""),""Empty-Crystal"","""")&amp;IF(REGEXMATCH($E327,""Move|move""),""Move"","""")"),"Unearth ")</f>
        <v>Unearth </v>
      </c>
      <c r="G327" s="20" t="s">
        <v>1344</v>
      </c>
      <c r="H327" s="18">
        <v>2.0</v>
      </c>
      <c r="I327" s="18" t="s">
        <v>1277</v>
      </c>
      <c r="J327" s="11" t="s">
        <v>50</v>
      </c>
      <c r="L327" s="13" t="str">
        <f>IFERROR(__xludf.DUMMYFUNCTION("IF(REGEXMATCH($B327,L$1),$D327,"""")"),"")</f>
        <v/>
      </c>
      <c r="M327" s="13" t="str">
        <f>IFERROR(__xludf.DUMMYFUNCTION("IF(REGEXMATCH($B327,M$1),$D327,"""")"),"")</f>
        <v/>
      </c>
      <c r="N327" s="13" t="str">
        <f>IFERROR(__xludf.DUMMYFUNCTION("IF(REGEXMATCH($B327,N$1),$D327,"""")"),"Hunter Undead")</f>
        <v>Hunter Undead</v>
      </c>
      <c r="O327" s="13" t="str">
        <f>IFERROR(__xludf.DUMMYFUNCTION("IF(REGEXMATCH($B327,O$1),$D327,"""")"),"")</f>
        <v/>
      </c>
      <c r="P327" s="13" t="str">
        <f>IFERROR(__xludf.DUMMYFUNCTION("IF(REGEXMATCH($B327,P$1),$D327,"""")"),"")</f>
        <v/>
      </c>
      <c r="Q327" s="13">
        <f>IFERROR(__xludf.DUMMYFUNCTION("IF($A327="""","""",LEN(REGEXREPLACE($I327,"",\s?"","""")))"),4.0)</f>
        <v>4</v>
      </c>
      <c r="S327" s="13"/>
      <c r="T327" s="13"/>
      <c r="U327" s="13"/>
      <c r="V327" s="13"/>
      <c r="W327" s="13"/>
      <c r="X327" s="13"/>
      <c r="Y327" s="13"/>
      <c r="Z327" s="13"/>
      <c r="AA327" s="13"/>
      <c r="AB327" s="13"/>
    </row>
    <row r="328" hidden="1">
      <c r="A328" s="46" t="s">
        <v>1345</v>
      </c>
      <c r="B328" s="46"/>
      <c r="C328" s="48">
        <v>2.0</v>
      </c>
      <c r="D328" s="48" t="s">
        <v>1346</v>
      </c>
      <c r="E328" s="49" t="s">
        <v>1347</v>
      </c>
      <c r="F328" s="10" t="str">
        <f>IFERROR(__xludf.DUMMYFUNCTION("IF(REGEXMATCH($E328,""Wizard""),""Wizard "","""")&amp;IF(REGEXMATCH($E328,""Construct""),""Construct "","""")&amp;IF(REGEXMATCH($E328,""Insect""),""Insect "","""")&amp;IF(REGEXMATCH($E328,""Dragon""),""Dragon "","""")&amp;IF(REGEXMATCH($E328,""Human""),""Human "","""")&amp;I"&amp;"F(REGEXMATCH($E328,""Hunter""),""Hunter "","""")&amp;IF(REGEXMATCH($E328,""Animal""),""Animal "","""")&amp;IF(REGEXMATCH($E328,""Undead""),""Undead "","""")&amp;IF(REGEXMATCH($E328,""Plant""),""Plant "","""")&amp;IF(REGEXMATCH($E328,""Dinosaur""),""Dinosaur "","""")&amp;IF(R"&amp;"EGEXMATCH($E328,""Warrior""),""Warrior "","""")&amp;IF(REGEXMATCH($E328,""Spirit""),""Spirit "","""")&amp;IF(REGEXMATCH($E328,""Angel""),""Angel "","""")&amp;IF(REGEXMATCH($E328,""Demon""),""Demon "","""")&amp;IF(REGEXMATCH($E328,""Divine""),""Divine "","""")&amp;IF(REGEXMAT"&amp;"CH($E328,""Elemental""),""Elemental "","""")&amp;IF(REGEXMATCH($E328,""Nature""),""Nature "","""")&amp;IF(REGEXMATCH($E328,""Mortal""),""Mortal "","""")&amp;IF(REGEXMATCH($E328,""Void""),""Void "","""")&amp;IF(REGEXMATCH($E328,""Unearth|Ambush|Ritual|unearth|ambush|ritua"&amp;"l""),""Unearth "","""")&amp;IF(REGEXMATCH($E328,""Unleash|Crystallize|all realms|Crystalborn|crystallize""),""Ramp "","""")&amp;IF(REGEXMATCH($E328,""Demon""),""Demon "","""")&amp;IF(REGEXMATCH($E328,""bury|buries|Bury|Buries|Cleanse|puts a Unit|trail|Trail""),""Cont"&amp;"rol "","""")&amp;IF(REGEXMATCH($E328,""Bounce|Return|Copy|bounce|return|copy""),""Copy "","""")&amp;IF(REGEXMATCH($E328,""conquer|Conquer|leading in lanes|lead by""),""Aggro "","""")&amp;IF(REGEXMATCH($E328,""Ascend|ascend""),""Ascend "","""")&amp;IF(REGEXMATCH($E328,""B"&amp;"ury .+ Crystal|.*crystal.*bury""),""Empty-Crystal"","""")&amp;IF(REGEXMATCH($E328,""Move|move""),""Move"","""")"),"Control Empty-Crystal")</f>
        <v>Control Empty-Crystal</v>
      </c>
      <c r="G328" s="50" t="s">
        <v>1348</v>
      </c>
      <c r="H328" s="51">
        <v>3.0</v>
      </c>
      <c r="I328" s="48" t="s">
        <v>1349</v>
      </c>
      <c r="J328" s="48" t="s">
        <v>42</v>
      </c>
      <c r="L328" s="13" t="str">
        <f>IFERROR(__xludf.DUMMYFUNCTION("IF(REGEXMATCH($B328,L$1),$D328,"""")"),"")</f>
        <v/>
      </c>
      <c r="M328" s="13" t="str">
        <f>IFERROR(__xludf.DUMMYFUNCTION("IF(REGEXMATCH($B328,M$1),$D328,"""")"),"")</f>
        <v/>
      </c>
      <c r="N328" s="13" t="str">
        <f>IFERROR(__xludf.DUMMYFUNCTION("IF(REGEXMATCH($B328,N$1),$D328,"""")"),"")</f>
        <v/>
      </c>
      <c r="O328" s="13" t="str">
        <f>IFERROR(__xludf.DUMMYFUNCTION("IF(REGEXMATCH($B328,O$1),$D328,"""")"),"")</f>
        <v/>
      </c>
      <c r="P328" s="13" t="str">
        <f>IFERROR(__xludf.DUMMYFUNCTION("IF(REGEXMATCH($B328,P$1),$D328,"""")"),"")</f>
        <v/>
      </c>
      <c r="Q328" s="13">
        <f>IFERROR(__xludf.DUMMYFUNCTION("IF($A328="""","""",LEN(REGEXREPLACE($I328,"",\s?"","""")))"),1.0)</f>
        <v>1</v>
      </c>
      <c r="S328" s="13"/>
      <c r="T328" s="13"/>
      <c r="U328" s="13"/>
      <c r="V328" s="13"/>
      <c r="W328" s="13"/>
      <c r="X328" s="13"/>
      <c r="Y328" s="13"/>
      <c r="Z328" s="13"/>
      <c r="AA328" s="13"/>
      <c r="AB328" s="13"/>
    </row>
    <row r="329" hidden="1">
      <c r="A329" s="19" t="s">
        <v>1350</v>
      </c>
      <c r="C329" s="18">
        <v>2.0</v>
      </c>
      <c r="D329" s="18" t="s">
        <v>1004</v>
      </c>
      <c r="E329" s="19" t="s">
        <v>181</v>
      </c>
      <c r="F329" s="10" t="str">
        <f>IFERROR(__xludf.DUMMYFUNCTION("IF(REGEXMATCH($E329,""Wizard""),""Wizard "","""")&amp;IF(REGEXMATCH($E329,""Construct""),""Construct "","""")&amp;IF(REGEXMATCH($E329,""Insect""),""Insect "","""")&amp;IF(REGEXMATCH($E329,""Dragon""),""Dragon "","""")&amp;IF(REGEXMATCH($E329,""Human""),""Human "","""")&amp;I"&amp;"F(REGEXMATCH($E329,""Hunter""),""Hunter "","""")&amp;IF(REGEXMATCH($E329,""Animal""),""Animal "","""")&amp;IF(REGEXMATCH($E329,""Undead""),""Undead "","""")&amp;IF(REGEXMATCH($E329,""Plant""),""Plant "","""")&amp;IF(REGEXMATCH($E329,""Dinosaur""),""Dinosaur "","""")&amp;IF(R"&amp;"EGEXMATCH($E329,""Warrior""),""Warrior "","""")&amp;IF(REGEXMATCH($E329,""Spirit""),""Spirit "","""")&amp;IF(REGEXMATCH($E329,""Angel""),""Angel "","""")&amp;IF(REGEXMATCH($E329,""Demon""),""Demon "","""")&amp;IF(REGEXMATCH($E329,""Divine""),""Divine "","""")&amp;IF(REGEXMAT"&amp;"CH($E329,""Elemental""),""Elemental "","""")&amp;IF(REGEXMATCH($E329,""Nature""),""Nature "","""")&amp;IF(REGEXMATCH($E329,""Mortal""),""Mortal "","""")&amp;IF(REGEXMATCH($E329,""Void""),""Void "","""")&amp;IF(REGEXMATCH($E329,""Unearth|Ambush|Ritual|unearth|ambush|ritua"&amp;"l""),""Unearth "","""")&amp;IF(REGEXMATCH($E329,""Unleash|Crystallize|all realms|Crystalborn|crystallize""),""Ramp "","""")&amp;IF(REGEXMATCH($E329,""Demon""),""Demon "","""")&amp;IF(REGEXMATCH($E329,""bury|buries|Bury|Buries|Cleanse|puts a Unit|trail|Trail""),""Cont"&amp;"rol "","""")&amp;IF(REGEXMATCH($E329,""Bounce|Return|Copy|bounce|return|copy""),""Copy "","""")&amp;IF(REGEXMATCH($E329,""conquer|Conquer|leading in lanes|lead by""),""Aggro "","""")&amp;IF(REGEXMATCH($E329,""Ascend|ascend""),""Ascend "","""")&amp;IF(REGEXMATCH($E329,""B"&amp;"ury .+ Crystal|.*crystal.*bury""),""Empty-Crystal"","""")&amp;IF(REGEXMATCH($E329,""Move|move""),""Move"","""")"),"")</f>
        <v/>
      </c>
      <c r="G329" s="20" t="s">
        <v>1351</v>
      </c>
      <c r="H329" s="18">
        <v>2.0</v>
      </c>
      <c r="I329" s="18" t="s">
        <v>1352</v>
      </c>
      <c r="J329" s="18" t="s">
        <v>42</v>
      </c>
      <c r="L329" s="13" t="str">
        <f>IFERROR(__xludf.DUMMYFUNCTION("IF(REGEXMATCH($B329,L$1),$D329,"""")"),"")</f>
        <v/>
      </c>
      <c r="M329" s="13" t="str">
        <f>IFERROR(__xludf.DUMMYFUNCTION("IF(REGEXMATCH($B329,M$1),$D329,"""")"),"")</f>
        <v/>
      </c>
      <c r="N329" s="13" t="str">
        <f>IFERROR(__xludf.DUMMYFUNCTION("IF(REGEXMATCH($B329,N$1),$D329,"""")"),"")</f>
        <v/>
      </c>
      <c r="O329" s="13" t="str">
        <f>IFERROR(__xludf.DUMMYFUNCTION("IF(REGEXMATCH($B329,O$1),$D329,"""")"),"")</f>
        <v/>
      </c>
      <c r="P329" s="13" t="str">
        <f>IFERROR(__xludf.DUMMYFUNCTION("IF(REGEXMATCH($B329,P$1),$D329,"""")"),"")</f>
        <v/>
      </c>
      <c r="Q329" s="13">
        <f>IFERROR(__xludf.DUMMYFUNCTION("IF($A329="""","""",LEN(REGEXREPLACE($I329,"",\s?"","""")))"),3.0)</f>
        <v>3</v>
      </c>
      <c r="S329" s="13"/>
      <c r="T329" s="13"/>
      <c r="U329" s="13"/>
      <c r="V329" s="13"/>
      <c r="W329" s="13"/>
      <c r="X329" s="13"/>
      <c r="Y329" s="13"/>
      <c r="Z329" s="13"/>
      <c r="AA329" s="13"/>
      <c r="AB329" s="13"/>
    </row>
    <row r="330" hidden="1">
      <c r="A330" s="46" t="s">
        <v>1353</v>
      </c>
      <c r="B330" s="46"/>
      <c r="C330" s="48">
        <v>2.0</v>
      </c>
      <c r="D330" s="48" t="s">
        <v>1302</v>
      </c>
      <c r="E330" s="49" t="s">
        <v>1354</v>
      </c>
      <c r="F330" s="10" t="str">
        <f>IFERROR(__xludf.DUMMYFUNCTION("IF(REGEXMATCH($E330,""Wizard""),""Wizard "","""")&amp;IF(REGEXMATCH($E330,""Construct""),""Construct "","""")&amp;IF(REGEXMATCH($E330,""Insect""),""Insect "","""")&amp;IF(REGEXMATCH($E330,""Dragon""),""Dragon "","""")&amp;IF(REGEXMATCH($E330,""Human""),""Human "","""")&amp;I"&amp;"F(REGEXMATCH($E330,""Hunter""),""Hunter "","""")&amp;IF(REGEXMATCH($E330,""Animal""),""Animal "","""")&amp;IF(REGEXMATCH($E330,""Undead""),""Undead "","""")&amp;IF(REGEXMATCH($E330,""Plant""),""Plant "","""")&amp;IF(REGEXMATCH($E330,""Dinosaur""),""Dinosaur "","""")&amp;IF(R"&amp;"EGEXMATCH($E330,""Warrior""),""Warrior "","""")&amp;IF(REGEXMATCH($E330,""Spirit""),""Spirit "","""")&amp;IF(REGEXMATCH($E330,""Angel""),""Angel "","""")&amp;IF(REGEXMATCH($E330,""Demon""),""Demon "","""")&amp;IF(REGEXMATCH($E330,""Divine""),""Divine "","""")&amp;IF(REGEXMAT"&amp;"CH($E330,""Elemental""),""Elemental "","""")&amp;IF(REGEXMATCH($E330,""Nature""),""Nature "","""")&amp;IF(REGEXMATCH($E330,""Mortal""),""Mortal "","""")&amp;IF(REGEXMATCH($E330,""Void""),""Void "","""")&amp;IF(REGEXMATCH($E330,""Unearth|Ambush|Ritual|unearth|ambush|ritua"&amp;"l""),""Unearth "","""")&amp;IF(REGEXMATCH($E330,""Unleash|Crystallize|all realms|Crystalborn|crystallize""),""Ramp "","""")&amp;IF(REGEXMATCH($E330,""Demon""),""Demon "","""")&amp;IF(REGEXMATCH($E330,""bury|buries|Bury|Buries|Cleanse|puts a Unit|trail|Trail""),""Cont"&amp;"rol "","""")&amp;IF(REGEXMATCH($E330,""Bounce|Return|Copy|bounce|return|copy""),""Copy "","""")&amp;IF(REGEXMATCH($E330,""conquer|Conquer|leading in lanes|lead by""),""Aggro "","""")&amp;IF(REGEXMATCH($E330,""Ascend|ascend""),""Ascend "","""")&amp;IF(REGEXMATCH($E330,""B"&amp;"ury .+ Crystal|.*crystal.*bury""),""Empty-Crystal"","""")&amp;IF(REGEXMATCH($E330,""Move|move""),""Move"","""")"),"Control Empty-Crystal")</f>
        <v>Control Empty-Crystal</v>
      </c>
      <c r="G330" s="50" t="s">
        <v>1355</v>
      </c>
      <c r="H330" s="48">
        <v>9.0</v>
      </c>
      <c r="I330" s="48" t="s">
        <v>1356</v>
      </c>
      <c r="J330" s="51" t="s">
        <v>50</v>
      </c>
      <c r="L330" s="13" t="str">
        <f>IFERROR(__xludf.DUMMYFUNCTION("IF(REGEXMATCH($B330,L$1),$D330,"""")"),"")</f>
        <v/>
      </c>
      <c r="M330" s="13" t="str">
        <f>IFERROR(__xludf.DUMMYFUNCTION("IF(REGEXMATCH($B330,M$1),$D330,"""")"),"")</f>
        <v/>
      </c>
      <c r="N330" s="13" t="str">
        <f>IFERROR(__xludf.DUMMYFUNCTION("IF(REGEXMATCH($B330,N$1),$D330,"""")"),"")</f>
        <v/>
      </c>
      <c r="O330" s="13" t="str">
        <f>IFERROR(__xludf.DUMMYFUNCTION("IF(REGEXMATCH($B330,O$1),$D330,"""")"),"")</f>
        <v/>
      </c>
      <c r="P330" s="13" t="str">
        <f>IFERROR(__xludf.DUMMYFUNCTION("IF(REGEXMATCH($B330,P$1),$D330,"""")"),"")</f>
        <v/>
      </c>
      <c r="Q330" s="13">
        <f>IFERROR(__xludf.DUMMYFUNCTION("IF($A330="""","""",LEN(REGEXREPLACE($I330,"",\s?"","""")))"),6.0)</f>
        <v>6</v>
      </c>
      <c r="S330" s="13"/>
      <c r="T330" s="13"/>
      <c r="U330" s="13"/>
      <c r="V330" s="13"/>
      <c r="W330" s="13"/>
      <c r="X330" s="13"/>
      <c r="Y330" s="13"/>
      <c r="Z330" s="13"/>
      <c r="AA330" s="13"/>
      <c r="AB330" s="13"/>
    </row>
    <row r="331">
      <c r="A331" s="29" t="s">
        <v>1357</v>
      </c>
      <c r="B331" s="10" t="s">
        <v>13</v>
      </c>
      <c r="C331" s="11">
        <v>1.0</v>
      </c>
      <c r="D331" s="11" t="s">
        <v>1319</v>
      </c>
      <c r="F331" s="10" t="str">
        <f>IFERROR(__xludf.DUMMYFUNCTION("IF(REGEXMATCH($E331,""Wizard""),""Wizard "","""")&amp;IF(REGEXMATCH($E331,""Construct""),""Construct "","""")&amp;IF(REGEXMATCH($E331,""Insect""),""Insect "","""")&amp;IF(REGEXMATCH($E331,""Dragon""),""Dragon "","""")&amp;IF(REGEXMATCH($E331,""Human""),""Human "","""")&amp;I"&amp;"F(REGEXMATCH($E331,""Hunter""),""Hunter "","""")&amp;IF(REGEXMATCH($E331,""Animal""),""Animal "","""")&amp;IF(REGEXMATCH($E331,""Undead""),""Undead "","""")&amp;IF(REGEXMATCH($E331,""Plant""),""Plant "","""")&amp;IF(REGEXMATCH($E331,""Dinosaur""),""Dinosaur "","""")&amp;IF(R"&amp;"EGEXMATCH($E331,""Warrior""),""Warrior "","""")&amp;IF(REGEXMATCH($E331,""Spirit""),""Spirit "","""")&amp;IF(REGEXMATCH($E331,""Angel""),""Angel "","""")&amp;IF(REGEXMATCH($E331,""Demon""),""Demon "","""")&amp;IF(REGEXMATCH($E331,""Divine""),""Divine "","""")&amp;IF(REGEXMAT"&amp;"CH($E331,""Elemental""),""Elemental "","""")&amp;IF(REGEXMATCH($E331,""Nature""),""Nature "","""")&amp;IF(REGEXMATCH($E331,""Mortal""),""Mortal "","""")&amp;IF(REGEXMATCH($E331,""Void""),""Void "","""")&amp;IF(REGEXMATCH($E331,""Unearth|Ambush|Ritual|unearth|ambush|ritua"&amp;"l""),""Unearth "","""")&amp;IF(REGEXMATCH($E331,""Unleash|Crystallize|all realms|Crystalborn|crystallize""),""Ramp "","""")&amp;IF(REGEXMATCH($E331,""Demon""),""Demon "","""")&amp;IF(REGEXMATCH($E331,""bury|buries|Bury|Buries|Cleanse|puts a Unit|trail|Trail""),""Cont"&amp;"rol "","""")&amp;IF(REGEXMATCH($E331,""Bounce|Return|Copy|bounce|return|copy""),""Copy "","""")&amp;IF(REGEXMATCH($E331,""conquer|Conquer|leading in lanes|lead by""),""Aggro "","""")&amp;IF(REGEXMATCH($E331,""Ascend|ascend""),""Ascend "","""")&amp;IF(REGEXMATCH($E331,""B"&amp;"ury .+ Crystal|.*crystal.*bury""),""Empty-Crystal"","""")&amp;IF(REGEXMATCH($E331,""Move|move""),""Move"","""")"),"")</f>
        <v/>
      </c>
      <c r="G331" s="12" t="s">
        <v>1358</v>
      </c>
      <c r="H331" s="11">
        <v>5.0</v>
      </c>
      <c r="I331" s="11" t="s">
        <v>1231</v>
      </c>
      <c r="J331" s="21" t="s">
        <v>42</v>
      </c>
      <c r="L331" s="13" t="str">
        <f>IFERROR(__xludf.DUMMYFUNCTION("IF(REGEXMATCH($B331,L$1),$D331,"""")"),"")</f>
        <v/>
      </c>
      <c r="M331" s="13" t="str">
        <f>IFERROR(__xludf.DUMMYFUNCTION("IF(REGEXMATCH($B331,M$1),$D331,"""")"),"")</f>
        <v/>
      </c>
      <c r="N331" s="13" t="str">
        <f>IFERROR(__xludf.DUMMYFUNCTION("IF(REGEXMATCH($B331,N$1),$D331,"""")"),"Plant Undead")</f>
        <v>Plant Undead</v>
      </c>
      <c r="O331" s="13" t="str">
        <f>IFERROR(__xludf.DUMMYFUNCTION("IF(REGEXMATCH($B331,O$1),$D331,"""")"),"")</f>
        <v/>
      </c>
      <c r="P331" s="13" t="str">
        <f>IFERROR(__xludf.DUMMYFUNCTION("IF(REGEXMATCH($B331,P$1),$D331,"""")"),"")</f>
        <v/>
      </c>
      <c r="Q331" s="13">
        <f>IFERROR(__xludf.DUMMYFUNCTION("IF($A331="""","""",LEN(REGEXREPLACE($I331,"",\s?"","""")))"),4.0)</f>
        <v>4</v>
      </c>
      <c r="S331" s="13"/>
      <c r="T331" s="13"/>
      <c r="U331" s="13"/>
      <c r="V331" s="13"/>
      <c r="W331" s="13"/>
      <c r="X331" s="13"/>
      <c r="Y331" s="13"/>
      <c r="Z331" s="13"/>
      <c r="AA331" s="13"/>
      <c r="AB331" s="13"/>
    </row>
    <row r="332" hidden="1">
      <c r="A332" s="46" t="s">
        <v>1359</v>
      </c>
      <c r="B332" s="46"/>
      <c r="C332" s="48">
        <v>2.0</v>
      </c>
      <c r="D332" s="48" t="s">
        <v>1360</v>
      </c>
      <c r="E332" s="87" t="s">
        <v>1361</v>
      </c>
      <c r="F332" s="10" t="str">
        <f>IFERROR(__xludf.DUMMYFUNCTION("IF(REGEXMATCH($E332,""Wizard""),""Wizard "","""")&amp;IF(REGEXMATCH($E332,""Construct""),""Construct "","""")&amp;IF(REGEXMATCH($E332,""Insect""),""Insect "","""")&amp;IF(REGEXMATCH($E332,""Dragon""),""Dragon "","""")&amp;IF(REGEXMATCH($E332,""Human""),""Human "","""")&amp;I"&amp;"F(REGEXMATCH($E332,""Hunter""),""Hunter "","""")&amp;IF(REGEXMATCH($E332,""Animal""),""Animal "","""")&amp;IF(REGEXMATCH($E332,""Undead""),""Undead "","""")&amp;IF(REGEXMATCH($E332,""Plant""),""Plant "","""")&amp;IF(REGEXMATCH($E332,""Dinosaur""),""Dinosaur "","""")&amp;IF(R"&amp;"EGEXMATCH($E332,""Warrior""),""Warrior "","""")&amp;IF(REGEXMATCH($E332,""Spirit""),""Spirit "","""")&amp;IF(REGEXMATCH($E332,""Angel""),""Angel "","""")&amp;IF(REGEXMATCH($E332,""Demon""),""Demon "","""")&amp;IF(REGEXMATCH($E332,""Divine""),""Divine "","""")&amp;IF(REGEXMAT"&amp;"CH($E332,""Elemental""),""Elemental "","""")&amp;IF(REGEXMATCH($E332,""Nature""),""Nature "","""")&amp;IF(REGEXMATCH($E332,""Mortal""),""Mortal "","""")&amp;IF(REGEXMATCH($E332,""Void""),""Void "","""")&amp;IF(REGEXMATCH($E332,""Unearth|Ambush|Ritual|unearth|ambush|ritua"&amp;"l""),""Unearth "","""")&amp;IF(REGEXMATCH($E332,""Unleash|Crystallize|all realms|Crystalborn|crystallize""),""Ramp "","""")&amp;IF(REGEXMATCH($E332,""Demon""),""Demon "","""")&amp;IF(REGEXMATCH($E332,""bury|buries|Bury|Buries|Cleanse|puts a Unit|trail|Trail""),""Cont"&amp;"rol "","""")&amp;IF(REGEXMATCH($E332,""Bounce|Return|Copy|bounce|return|copy""),""Copy "","""")&amp;IF(REGEXMATCH($E332,""conquer|Conquer|leading in lanes|lead by""),""Aggro "","""")&amp;IF(REGEXMATCH($E332,""Ascend|ascend""),""Ascend "","""")&amp;IF(REGEXMATCH($E332,""B"&amp;"ury .+ Crystal|.*crystal.*bury""),""Empty-Crystal"","""")&amp;IF(REGEXMATCH($E332,""Move|move""),""Move"","""")"),"Ramp Control Empty-Crystal")</f>
        <v>Ramp Control Empty-Crystal</v>
      </c>
      <c r="G332" s="50" t="s">
        <v>1362</v>
      </c>
      <c r="H332" s="48">
        <v>6.0</v>
      </c>
      <c r="I332" s="48" t="s">
        <v>1363</v>
      </c>
      <c r="J332" s="51" t="s">
        <v>42</v>
      </c>
      <c r="L332" s="13" t="str">
        <f>IFERROR(__xludf.DUMMYFUNCTION("IF(REGEXMATCH($B332,L$1),$D332,"""")"),"")</f>
        <v/>
      </c>
      <c r="M332" s="13" t="str">
        <f>IFERROR(__xludf.DUMMYFUNCTION("IF(REGEXMATCH($B332,M$1),$D332,"""")"),"")</f>
        <v/>
      </c>
      <c r="N332" s="13" t="str">
        <f>IFERROR(__xludf.DUMMYFUNCTION("IF(REGEXMATCH($B332,N$1),$D332,"""")"),"")</f>
        <v/>
      </c>
      <c r="O332" s="13" t="str">
        <f>IFERROR(__xludf.DUMMYFUNCTION("IF(REGEXMATCH($B332,O$1),$D332,"""")"),"")</f>
        <v/>
      </c>
      <c r="P332" s="13" t="str">
        <f>IFERROR(__xludf.DUMMYFUNCTION("IF(REGEXMATCH($B332,P$1),$D332,"""")"),"")</f>
        <v/>
      </c>
      <c r="Q332" s="13">
        <f>IFERROR(__xludf.DUMMYFUNCTION("IF($A332="""","""",LEN(REGEXREPLACE($I332,"",\s?"","""")))"),4.0)</f>
        <v>4</v>
      </c>
      <c r="S332" s="13"/>
      <c r="T332" s="13"/>
      <c r="U332" s="13"/>
      <c r="V332" s="13"/>
      <c r="W332" s="13"/>
      <c r="X332" s="13"/>
      <c r="Y332" s="13"/>
      <c r="Z332" s="13"/>
      <c r="AA332" s="13"/>
      <c r="AB332" s="13"/>
    </row>
    <row r="333">
      <c r="A333" s="19" t="s">
        <v>1364</v>
      </c>
      <c r="B333" s="10" t="s">
        <v>13</v>
      </c>
      <c r="C333" s="11">
        <v>1.0</v>
      </c>
      <c r="D333" s="18" t="s">
        <v>814</v>
      </c>
      <c r="E333" s="19" t="s">
        <v>1365</v>
      </c>
      <c r="F333" s="10" t="str">
        <f>IFERROR(__xludf.DUMMYFUNCTION("IF(REGEXMATCH($E333,""Wizard""),""Wizard "","""")&amp;IF(REGEXMATCH($E333,""Construct""),""Construct "","""")&amp;IF(REGEXMATCH($E333,""Insect""),""Insect "","""")&amp;IF(REGEXMATCH($E333,""Dragon""),""Dragon "","""")&amp;IF(REGEXMATCH($E333,""Human""),""Human "","""")&amp;I"&amp;"F(REGEXMATCH($E333,""Hunter""),""Hunter "","""")&amp;IF(REGEXMATCH($E333,""Animal""),""Animal "","""")&amp;IF(REGEXMATCH($E333,""Undead""),""Undead "","""")&amp;IF(REGEXMATCH($E333,""Plant""),""Plant "","""")&amp;IF(REGEXMATCH($E333,""Dinosaur""),""Dinosaur "","""")&amp;IF(R"&amp;"EGEXMATCH($E333,""Warrior""),""Warrior "","""")&amp;IF(REGEXMATCH($E333,""Spirit""),""Spirit "","""")&amp;IF(REGEXMATCH($E333,""Angel""),""Angel "","""")&amp;IF(REGEXMATCH($E333,""Demon""),""Demon "","""")&amp;IF(REGEXMATCH($E333,""Divine""),""Divine "","""")&amp;IF(REGEXMAT"&amp;"CH($E333,""Elemental""),""Elemental "","""")&amp;IF(REGEXMATCH($E333,""Nature""),""Nature "","""")&amp;IF(REGEXMATCH($E333,""Mortal""),""Mortal "","""")&amp;IF(REGEXMATCH($E333,""Void""),""Void "","""")&amp;IF(REGEXMATCH($E333,""Unearth|Ambush|Ritual|unearth|ambush|ritua"&amp;"l""),""Unearth "","""")&amp;IF(REGEXMATCH($E333,""Unleash|Crystallize|all realms|Crystalborn|crystallize""),""Ramp "","""")&amp;IF(REGEXMATCH($E333,""Demon""),""Demon "","""")&amp;IF(REGEXMATCH($E333,""bury|buries|Bury|Buries|Cleanse|puts a Unit|trail|Trail""),""Cont"&amp;"rol "","""")&amp;IF(REGEXMATCH($E333,""Bounce|Return|Copy|bounce|return|copy""),""Copy "","""")&amp;IF(REGEXMATCH($E333,""conquer|Conquer|leading in lanes|lead by""),""Aggro "","""")&amp;IF(REGEXMATCH($E333,""Ascend|ascend""),""Ascend "","""")&amp;IF(REGEXMATCH($E333,""B"&amp;"ury .+ Crystal|.*crystal.*bury""),""Empty-Crystal"","""")&amp;IF(REGEXMATCH($E333,""Move|move""),""Move"","""")"),"Unearth ")</f>
        <v>Unearth </v>
      </c>
      <c r="G333" s="20" t="s">
        <v>832</v>
      </c>
      <c r="H333" s="18">
        <v>2.0</v>
      </c>
      <c r="I333" s="18" t="s">
        <v>1169</v>
      </c>
      <c r="J333" s="18" t="s">
        <v>42</v>
      </c>
      <c r="L333" s="13" t="str">
        <f>IFERROR(__xludf.DUMMYFUNCTION("IF(REGEXMATCH($B333,L$1),$D333,"""")"),"")</f>
        <v/>
      </c>
      <c r="M333" s="13" t="str">
        <f>IFERROR(__xludf.DUMMYFUNCTION("IF(REGEXMATCH($B333,M$1),$D333,"""")"),"")</f>
        <v/>
      </c>
      <c r="N333" s="13" t="str">
        <f>IFERROR(__xludf.DUMMYFUNCTION("IF(REGEXMATCH($B333,N$1),$D333,"""")"),"Undead")</f>
        <v>Undead</v>
      </c>
      <c r="O333" s="13" t="str">
        <f>IFERROR(__xludf.DUMMYFUNCTION("IF(REGEXMATCH($B333,O$1),$D333,"""")"),"")</f>
        <v/>
      </c>
      <c r="P333" s="13" t="str">
        <f>IFERROR(__xludf.DUMMYFUNCTION("IF(REGEXMATCH($B333,P$1),$D333,"""")"),"")</f>
        <v/>
      </c>
      <c r="Q333" s="13">
        <f>IFERROR(__xludf.DUMMYFUNCTION("IF($A333="""","""",LEN(REGEXREPLACE($I333,"",\s?"","""")))"),2.0)</f>
        <v>2</v>
      </c>
      <c r="S333" s="13"/>
      <c r="T333" s="13"/>
      <c r="U333" s="13"/>
      <c r="V333" s="13"/>
      <c r="W333" s="13"/>
      <c r="X333" s="13"/>
      <c r="Y333" s="13"/>
      <c r="Z333" s="13"/>
      <c r="AA333" s="13"/>
      <c r="AB333" s="13"/>
    </row>
    <row r="334" hidden="1">
      <c r="A334" s="19" t="s">
        <v>1366</v>
      </c>
      <c r="B334" s="19"/>
      <c r="C334" s="18">
        <v>2.0</v>
      </c>
      <c r="D334" s="18"/>
      <c r="E334" s="19" t="s">
        <v>1367</v>
      </c>
      <c r="F334" s="10" t="str">
        <f>IFERROR(__xludf.DUMMYFUNCTION("IF(REGEXMATCH($E334,""Wizard""),""Wizard "","""")&amp;IF(REGEXMATCH($E334,""Construct""),""Construct "","""")&amp;IF(REGEXMATCH($E334,""Insect""),""Insect "","""")&amp;IF(REGEXMATCH($E334,""Dragon""),""Dragon "","""")&amp;IF(REGEXMATCH($E334,""Human""),""Human "","""")&amp;I"&amp;"F(REGEXMATCH($E334,""Hunter""),""Hunter "","""")&amp;IF(REGEXMATCH($E334,""Animal""),""Animal "","""")&amp;IF(REGEXMATCH($E334,""Undead""),""Undead "","""")&amp;IF(REGEXMATCH($E334,""Plant""),""Plant "","""")&amp;IF(REGEXMATCH($E334,""Dinosaur""),""Dinosaur "","""")&amp;IF(R"&amp;"EGEXMATCH($E334,""Warrior""),""Warrior "","""")&amp;IF(REGEXMATCH($E334,""Spirit""),""Spirit "","""")&amp;IF(REGEXMATCH($E334,""Angel""),""Angel "","""")&amp;IF(REGEXMATCH($E334,""Demon""),""Demon "","""")&amp;IF(REGEXMATCH($E334,""Divine""),""Divine "","""")&amp;IF(REGEXMAT"&amp;"CH($E334,""Elemental""),""Elemental "","""")&amp;IF(REGEXMATCH($E334,""Nature""),""Nature "","""")&amp;IF(REGEXMATCH($E334,""Mortal""),""Mortal "","""")&amp;IF(REGEXMATCH($E334,""Void""),""Void "","""")&amp;IF(REGEXMATCH($E334,""Unearth|Ambush|Ritual|unearth|ambush|ritua"&amp;"l""),""Unearth "","""")&amp;IF(REGEXMATCH($E334,""Unleash|Crystallize|all realms|Crystalborn|crystallize""),""Ramp "","""")&amp;IF(REGEXMATCH($E334,""Demon""),""Demon "","""")&amp;IF(REGEXMATCH($E334,""bury|buries|Bury|Buries|Cleanse|puts a Unit|trail|Trail""),""Cont"&amp;"rol "","""")&amp;IF(REGEXMATCH($E334,""Bounce|Return|Copy|bounce|return|copy""),""Copy "","""")&amp;IF(REGEXMATCH($E334,""conquer|Conquer|leading in lanes|lead by""),""Aggro "","""")&amp;IF(REGEXMATCH($E334,""Ascend|ascend""),""Ascend "","""")&amp;IF(REGEXMATCH($E334,""B"&amp;"ury .+ Crystal|.*crystal.*bury""),""Empty-Crystal"","""")&amp;IF(REGEXMATCH($E334,""Move|move""),""Move"","""")"),"Ascend ")</f>
        <v>Ascend </v>
      </c>
      <c r="G334" s="20" t="s">
        <v>1368</v>
      </c>
      <c r="H334" s="18">
        <v>2.0</v>
      </c>
      <c r="I334" s="18" t="s">
        <v>1352</v>
      </c>
      <c r="J334" s="18" t="s">
        <v>50</v>
      </c>
      <c r="L334" s="13" t="str">
        <f>IFERROR(__xludf.DUMMYFUNCTION("IF(REGEXMATCH($B334,L$1),$D334,"""")"),"")</f>
        <v/>
      </c>
      <c r="M334" s="13" t="str">
        <f>IFERROR(__xludf.DUMMYFUNCTION("IF(REGEXMATCH($B334,M$1),$D334,"""")"),"")</f>
        <v/>
      </c>
      <c r="N334" s="13" t="str">
        <f>IFERROR(__xludf.DUMMYFUNCTION("IF(REGEXMATCH($B334,N$1),$D334,"""")"),"")</f>
        <v/>
      </c>
      <c r="O334" s="13" t="str">
        <f>IFERROR(__xludf.DUMMYFUNCTION("IF(REGEXMATCH($B334,O$1),$D334,"""")"),"")</f>
        <v/>
      </c>
      <c r="P334" s="13" t="str">
        <f>IFERROR(__xludf.DUMMYFUNCTION("IF(REGEXMATCH($B334,P$1),$D334,"""")"),"")</f>
        <v/>
      </c>
      <c r="Q334" s="13">
        <f>IFERROR(__xludf.DUMMYFUNCTION("IF($A334="""","""",LEN(REGEXREPLACE($I334,"",\s?"","""")))"),3.0)</f>
        <v>3</v>
      </c>
      <c r="S334" s="13"/>
      <c r="T334" s="13"/>
      <c r="U334" s="13"/>
      <c r="V334" s="13"/>
      <c r="W334" s="13"/>
      <c r="X334" s="13"/>
      <c r="Y334" s="13"/>
      <c r="Z334" s="13"/>
      <c r="AA334" s="13"/>
      <c r="AB334" s="13"/>
    </row>
    <row r="335">
      <c r="A335" s="10" t="s">
        <v>1369</v>
      </c>
      <c r="B335" s="10" t="s">
        <v>13</v>
      </c>
      <c r="C335" s="11">
        <v>1.0</v>
      </c>
      <c r="D335" s="11" t="s">
        <v>814</v>
      </c>
      <c r="E335" s="19" t="s">
        <v>1370</v>
      </c>
      <c r="F335" s="10" t="str">
        <f>IFERROR(__xludf.DUMMYFUNCTION("IF(REGEXMATCH($E335,""Wizard""),""Wizard "","""")&amp;IF(REGEXMATCH($E335,""Construct""),""Construct "","""")&amp;IF(REGEXMATCH($E335,""Insect""),""Insect "","""")&amp;IF(REGEXMATCH($E335,""Dragon""),""Dragon "","""")&amp;IF(REGEXMATCH($E335,""Human""),""Human "","""")&amp;I"&amp;"F(REGEXMATCH($E335,""Hunter""),""Hunter "","""")&amp;IF(REGEXMATCH($E335,""Animal""),""Animal "","""")&amp;IF(REGEXMATCH($E335,""Undead""),""Undead "","""")&amp;IF(REGEXMATCH($E335,""Plant""),""Plant "","""")&amp;IF(REGEXMATCH($E335,""Dinosaur""),""Dinosaur "","""")&amp;IF(R"&amp;"EGEXMATCH($E335,""Warrior""),""Warrior "","""")&amp;IF(REGEXMATCH($E335,""Spirit""),""Spirit "","""")&amp;IF(REGEXMATCH($E335,""Angel""),""Angel "","""")&amp;IF(REGEXMATCH($E335,""Demon""),""Demon "","""")&amp;IF(REGEXMATCH($E335,""Divine""),""Divine "","""")&amp;IF(REGEXMAT"&amp;"CH($E335,""Elemental""),""Elemental "","""")&amp;IF(REGEXMATCH($E335,""Nature""),""Nature "","""")&amp;IF(REGEXMATCH($E335,""Mortal""),""Mortal "","""")&amp;IF(REGEXMATCH($E335,""Void""),""Void "","""")&amp;IF(REGEXMATCH($E335,""Unearth|Ambush|Ritual|unearth|ambush|ritua"&amp;"l""),""Unearth "","""")&amp;IF(REGEXMATCH($E335,""Unleash|Crystallize|all realms|Crystalborn|crystallize""),""Ramp "","""")&amp;IF(REGEXMATCH($E335,""Demon""),""Demon "","""")&amp;IF(REGEXMATCH($E335,""bury|buries|Bury|Buries|Cleanse|puts a Unit|trail|Trail""),""Cont"&amp;"rol "","""")&amp;IF(REGEXMATCH($E335,""Bounce|Return|Copy|bounce|return|copy""),""Copy "","""")&amp;IF(REGEXMATCH($E335,""conquer|Conquer|leading in lanes|lead by""),""Aggro "","""")&amp;IF(REGEXMATCH($E335,""Ascend|ascend""),""Ascend "","""")&amp;IF(REGEXMATCH($E335,""B"&amp;"ury .+ Crystal|.*crystal.*bury""),""Empty-Crystal"","""")&amp;IF(REGEXMATCH($E335,""Move|move""),""Move"","""")"),"")</f>
        <v/>
      </c>
      <c r="G335" s="12" t="s">
        <v>1371</v>
      </c>
      <c r="H335" s="11">
        <v>3.0</v>
      </c>
      <c r="I335" s="11" t="s">
        <v>1165</v>
      </c>
      <c r="J335" s="11" t="s">
        <v>42</v>
      </c>
      <c r="L335" s="13" t="str">
        <f>IFERROR(__xludf.DUMMYFUNCTION("IF(REGEXMATCH($B335,L$1),$D335,"""")"),"")</f>
        <v/>
      </c>
      <c r="M335" s="13" t="str">
        <f>IFERROR(__xludf.DUMMYFUNCTION("IF(REGEXMATCH($B335,M$1),$D335,"""")"),"")</f>
        <v/>
      </c>
      <c r="N335" s="13" t="str">
        <f>IFERROR(__xludf.DUMMYFUNCTION("IF(REGEXMATCH($B335,N$1),$D335,"""")"),"Undead")</f>
        <v>Undead</v>
      </c>
      <c r="O335" s="13" t="str">
        <f>IFERROR(__xludf.DUMMYFUNCTION("IF(REGEXMATCH($B335,O$1),$D335,"""")"),"")</f>
        <v/>
      </c>
      <c r="P335" s="13" t="str">
        <f>IFERROR(__xludf.DUMMYFUNCTION("IF(REGEXMATCH($B335,P$1),$D335,"""")"),"")</f>
        <v/>
      </c>
      <c r="Q335" s="13">
        <f>IFERROR(__xludf.DUMMYFUNCTION("IF($A335="""","""",LEN(REGEXREPLACE($I335,"",\s?"","""")))"),3.0)</f>
        <v>3</v>
      </c>
      <c r="S335" s="13"/>
      <c r="T335" s="13"/>
      <c r="U335" s="13"/>
      <c r="V335" s="13"/>
      <c r="W335" s="13"/>
      <c r="X335" s="13"/>
      <c r="Y335" s="13"/>
      <c r="Z335" s="13"/>
      <c r="AA335" s="13"/>
      <c r="AB335" s="13"/>
    </row>
    <row r="336" hidden="1">
      <c r="A336" s="19" t="s">
        <v>1372</v>
      </c>
      <c r="B336" s="19"/>
      <c r="C336" s="18">
        <v>2.0</v>
      </c>
      <c r="D336" s="18" t="s">
        <v>1373</v>
      </c>
      <c r="E336" s="19" t="s">
        <v>1374</v>
      </c>
      <c r="F336" s="10" t="str">
        <f>IFERROR(__xludf.DUMMYFUNCTION("IF(REGEXMATCH($E336,""Wizard""),""Wizard "","""")&amp;IF(REGEXMATCH($E336,""Construct""),""Construct "","""")&amp;IF(REGEXMATCH($E336,""Insect""),""Insect "","""")&amp;IF(REGEXMATCH($E336,""Dragon""),""Dragon "","""")&amp;IF(REGEXMATCH($E336,""Human""),""Human "","""")&amp;I"&amp;"F(REGEXMATCH($E336,""Hunter""),""Hunter "","""")&amp;IF(REGEXMATCH($E336,""Animal""),""Animal "","""")&amp;IF(REGEXMATCH($E336,""Undead""),""Undead "","""")&amp;IF(REGEXMATCH($E336,""Plant""),""Plant "","""")&amp;IF(REGEXMATCH($E336,""Dinosaur""),""Dinosaur "","""")&amp;IF(R"&amp;"EGEXMATCH($E336,""Warrior""),""Warrior "","""")&amp;IF(REGEXMATCH($E336,""Spirit""),""Spirit "","""")&amp;IF(REGEXMATCH($E336,""Angel""),""Angel "","""")&amp;IF(REGEXMATCH($E336,""Demon""),""Demon "","""")&amp;IF(REGEXMATCH($E336,""Divine""),""Divine "","""")&amp;IF(REGEXMAT"&amp;"CH($E336,""Elemental""),""Elemental "","""")&amp;IF(REGEXMATCH($E336,""Nature""),""Nature "","""")&amp;IF(REGEXMATCH($E336,""Mortal""),""Mortal "","""")&amp;IF(REGEXMATCH($E336,""Void""),""Void "","""")&amp;IF(REGEXMATCH($E336,""Unearth|Ambush|Ritual|unearth|ambush|ritua"&amp;"l""),""Unearth "","""")&amp;IF(REGEXMATCH($E336,""Unleash|Crystallize|all realms|Crystalborn|crystallize""),""Ramp "","""")&amp;IF(REGEXMATCH($E336,""Demon""),""Demon "","""")&amp;IF(REGEXMATCH($E336,""bury|buries|Bury|Buries|Cleanse|puts a Unit|trail|Trail""),""Cont"&amp;"rol "","""")&amp;IF(REGEXMATCH($E336,""Bounce|Return|Copy|bounce|return|copy""),""Copy "","""")&amp;IF(REGEXMATCH($E336,""conquer|Conquer|leading in lanes|lead by""),""Aggro "","""")&amp;IF(REGEXMATCH($E336,""Ascend|ascend""),""Ascend "","""")&amp;IF(REGEXMATCH($E336,""B"&amp;"ury .+ Crystal|.*crystal.*bury""),""Empty-Crystal"","""")&amp;IF(REGEXMATCH($E336,""Move|move""),""Move"","""")"),"")</f>
        <v/>
      </c>
      <c r="G336" s="20" t="s">
        <v>525</v>
      </c>
      <c r="H336" s="18">
        <v>0.0</v>
      </c>
      <c r="I336" s="18" t="s">
        <v>1352</v>
      </c>
      <c r="J336" s="18" t="s">
        <v>50</v>
      </c>
      <c r="L336" s="13" t="str">
        <f>IFERROR(__xludf.DUMMYFUNCTION("IF(REGEXMATCH($B336,L$1),$D336,"""")"),"")</f>
        <v/>
      </c>
      <c r="M336" s="13" t="str">
        <f>IFERROR(__xludf.DUMMYFUNCTION("IF(REGEXMATCH($B336,M$1),$D336,"""")"),"")</f>
        <v/>
      </c>
      <c r="N336" s="13" t="str">
        <f>IFERROR(__xludf.DUMMYFUNCTION("IF(REGEXMATCH($B336,N$1),$D336,"""")"),"")</f>
        <v/>
      </c>
      <c r="O336" s="13" t="str">
        <f>IFERROR(__xludf.DUMMYFUNCTION("IF(REGEXMATCH($B336,O$1),$D336,"""")"),"")</f>
        <v/>
      </c>
      <c r="P336" s="13" t="str">
        <f>IFERROR(__xludf.DUMMYFUNCTION("IF(REGEXMATCH($B336,P$1),$D336,"""")"),"")</f>
        <v/>
      </c>
      <c r="Q336" s="13">
        <f>IFERROR(__xludf.DUMMYFUNCTION("IF($A336="""","""",LEN(REGEXREPLACE($I336,"",\s?"","""")))"),3.0)</f>
        <v>3</v>
      </c>
      <c r="S336" s="13"/>
      <c r="T336" s="13"/>
      <c r="U336" s="13"/>
      <c r="V336" s="13"/>
      <c r="W336" s="13"/>
      <c r="X336" s="13"/>
      <c r="Y336" s="13"/>
      <c r="Z336" s="13"/>
      <c r="AA336" s="13"/>
      <c r="AB336" s="13"/>
    </row>
    <row r="337">
      <c r="A337" s="19" t="s">
        <v>1375</v>
      </c>
      <c r="B337" s="10" t="s">
        <v>13</v>
      </c>
      <c r="C337" s="11">
        <v>1.0</v>
      </c>
      <c r="D337" s="18" t="s">
        <v>814</v>
      </c>
      <c r="E337" s="19" t="s">
        <v>1376</v>
      </c>
      <c r="F337" s="10" t="str">
        <f>IFERROR(__xludf.DUMMYFUNCTION("IF(REGEXMATCH($E337,""Wizard""),""Wizard "","""")&amp;IF(REGEXMATCH($E337,""Construct""),""Construct "","""")&amp;IF(REGEXMATCH($E337,""Insect""),""Insect "","""")&amp;IF(REGEXMATCH($E337,""Dragon""),""Dragon "","""")&amp;IF(REGEXMATCH($E337,""Human""),""Human "","""")&amp;I"&amp;"F(REGEXMATCH($E337,""Hunter""),""Hunter "","""")&amp;IF(REGEXMATCH($E337,""Animal""),""Animal "","""")&amp;IF(REGEXMATCH($E337,""Undead""),""Undead "","""")&amp;IF(REGEXMATCH($E337,""Plant""),""Plant "","""")&amp;IF(REGEXMATCH($E337,""Dinosaur""),""Dinosaur "","""")&amp;IF(R"&amp;"EGEXMATCH($E337,""Warrior""),""Warrior "","""")&amp;IF(REGEXMATCH($E337,""Spirit""),""Spirit "","""")&amp;IF(REGEXMATCH($E337,""Angel""),""Angel "","""")&amp;IF(REGEXMATCH($E337,""Demon""),""Demon "","""")&amp;IF(REGEXMATCH($E337,""Divine""),""Divine "","""")&amp;IF(REGEXMAT"&amp;"CH($E337,""Elemental""),""Elemental "","""")&amp;IF(REGEXMATCH($E337,""Nature""),""Nature "","""")&amp;IF(REGEXMATCH($E337,""Mortal""),""Mortal "","""")&amp;IF(REGEXMATCH($E337,""Void""),""Void "","""")&amp;IF(REGEXMATCH($E337,""Unearth|Ambush|Ritual|unearth|ambush|ritua"&amp;"l""),""Unearth "","""")&amp;IF(REGEXMATCH($E337,""Unleash|Crystallize|all realms|Crystalborn|crystallize""),""Ramp "","""")&amp;IF(REGEXMATCH($E337,""Demon""),""Demon "","""")&amp;IF(REGEXMATCH($E337,""bury|buries|Bury|Buries|Cleanse|puts a Unit|trail|Trail""),""Cont"&amp;"rol "","""")&amp;IF(REGEXMATCH($E337,""Bounce|Return|Copy|bounce|return|copy""),""Copy "","""")&amp;IF(REGEXMATCH($E337,""conquer|Conquer|leading in lanes|lead by""),""Aggro "","""")&amp;IF(REGEXMATCH($E337,""Ascend|ascend""),""Ascend "","""")&amp;IF(REGEXMATCH($E337,""B"&amp;"ury .+ Crystal|.*crystal.*bury""),""Empty-Crystal"","""")&amp;IF(REGEXMATCH($E337,""Move|move""),""Move"","""")"),"Void ")</f>
        <v>Void </v>
      </c>
      <c r="G337" s="20" t="s">
        <v>1377</v>
      </c>
      <c r="H337" s="18">
        <v>3.0</v>
      </c>
      <c r="I337" s="18" t="s">
        <v>1165</v>
      </c>
      <c r="J337" s="18" t="s">
        <v>42</v>
      </c>
      <c r="L337" s="13" t="str">
        <f>IFERROR(__xludf.DUMMYFUNCTION("IF(REGEXMATCH($B337,L$1),$D337,"""")"),"")</f>
        <v/>
      </c>
      <c r="M337" s="13" t="str">
        <f>IFERROR(__xludf.DUMMYFUNCTION("IF(REGEXMATCH($B337,M$1),$D337,"""")"),"")</f>
        <v/>
      </c>
      <c r="N337" s="13" t="str">
        <f>IFERROR(__xludf.DUMMYFUNCTION("IF(REGEXMATCH($B337,N$1),$D337,"""")"),"Undead")</f>
        <v>Undead</v>
      </c>
      <c r="O337" s="13" t="str">
        <f>IFERROR(__xludf.DUMMYFUNCTION("IF(REGEXMATCH($B337,O$1),$D337,"""")"),"")</f>
        <v/>
      </c>
      <c r="P337" s="13" t="str">
        <f>IFERROR(__xludf.DUMMYFUNCTION("IF(REGEXMATCH($B337,P$1),$D337,"""")"),"")</f>
        <v/>
      </c>
      <c r="Q337" s="13">
        <f>IFERROR(__xludf.DUMMYFUNCTION("IF($A337="""","""",LEN(REGEXREPLACE($I337,"",\s?"","""")))"),3.0)</f>
        <v>3</v>
      </c>
      <c r="S337" s="13"/>
      <c r="T337" s="13"/>
      <c r="U337" s="13"/>
      <c r="V337" s="13"/>
      <c r="W337" s="13"/>
      <c r="X337" s="13"/>
      <c r="Y337" s="13"/>
      <c r="Z337" s="13"/>
      <c r="AA337" s="13"/>
      <c r="AB337" s="13"/>
    </row>
    <row r="338">
      <c r="A338" s="22" t="s">
        <v>1378</v>
      </c>
      <c r="B338" s="10" t="s">
        <v>13</v>
      </c>
      <c r="C338" s="11">
        <v>1.0</v>
      </c>
      <c r="D338" s="11" t="s">
        <v>322</v>
      </c>
      <c r="E338" s="10" t="s">
        <v>1379</v>
      </c>
      <c r="F338" s="10" t="str">
        <f>IFERROR(__xludf.DUMMYFUNCTION("IF(REGEXMATCH($E338,""Wizard""),""Wizard "","""")&amp;IF(REGEXMATCH($E338,""Construct""),""Construct "","""")&amp;IF(REGEXMATCH($E338,""Insect""),""Insect "","""")&amp;IF(REGEXMATCH($E338,""Dragon""),""Dragon "","""")&amp;IF(REGEXMATCH($E338,""Human""),""Human "","""")&amp;I"&amp;"F(REGEXMATCH($E338,""Hunter""),""Hunter "","""")&amp;IF(REGEXMATCH($E338,""Animal""),""Animal "","""")&amp;IF(REGEXMATCH($E338,""Undead""),""Undead "","""")&amp;IF(REGEXMATCH($E338,""Plant""),""Plant "","""")&amp;IF(REGEXMATCH($E338,""Dinosaur""),""Dinosaur "","""")&amp;IF(R"&amp;"EGEXMATCH($E338,""Warrior""),""Warrior "","""")&amp;IF(REGEXMATCH($E338,""Spirit""),""Spirit "","""")&amp;IF(REGEXMATCH($E338,""Angel""),""Angel "","""")&amp;IF(REGEXMATCH($E338,""Demon""),""Demon "","""")&amp;IF(REGEXMATCH($E338,""Divine""),""Divine "","""")&amp;IF(REGEXMAT"&amp;"CH($E338,""Elemental""),""Elemental "","""")&amp;IF(REGEXMATCH($E338,""Nature""),""Nature "","""")&amp;IF(REGEXMATCH($E338,""Mortal""),""Mortal "","""")&amp;IF(REGEXMATCH($E338,""Void""),""Void "","""")&amp;IF(REGEXMATCH($E338,""Unearth|Ambush|Ritual|unearth|ambush|ritua"&amp;"l""),""Unearth "","""")&amp;IF(REGEXMATCH($E338,""Unleash|Crystallize|all realms|Crystalborn|crystallize""),""Ramp "","""")&amp;IF(REGEXMATCH($E338,""Demon""),""Demon "","""")&amp;IF(REGEXMATCH($E338,""bury|buries|Bury|Buries|Cleanse|puts a Unit|trail|Trail""),""Cont"&amp;"rol "","""")&amp;IF(REGEXMATCH($E338,""Bounce|Return|Copy|bounce|return|copy""),""Copy "","""")&amp;IF(REGEXMATCH($E338,""conquer|Conquer|leading in lanes|lead by""),""Aggro "","""")&amp;IF(REGEXMATCH($E338,""Ascend|ascend""),""Ascend "","""")&amp;IF(REGEXMATCH($E338,""B"&amp;"ury .+ Crystal|.*crystal.*bury""),""Empty-Crystal"","""")&amp;IF(REGEXMATCH($E338,""Move|move""),""Move"","""")"),"Void ")</f>
        <v>Void </v>
      </c>
      <c r="G338" s="12" t="s">
        <v>1380</v>
      </c>
      <c r="H338" s="11">
        <v>5.0</v>
      </c>
      <c r="I338" s="11" t="s">
        <v>1140</v>
      </c>
      <c r="J338" s="11" t="s">
        <v>42</v>
      </c>
      <c r="L338" s="13" t="str">
        <f>IFERROR(__xludf.DUMMYFUNCTION("IF(REGEXMATCH($D338,L$1),#REF!,"""")"),"")</f>
        <v/>
      </c>
      <c r="M338" s="13" t="str">
        <f>IFERROR(__xludf.DUMMYFUNCTION("IF(REGEXMATCH($D338,M$1),#REF!,"""")"),"")</f>
        <v/>
      </c>
      <c r="N338" s="13" t="str">
        <f>IFERROR(__xludf.DUMMYFUNCTION("IF(REGEXMATCH($D338,N$1),#REF!,"""")"),"")</f>
        <v/>
      </c>
      <c r="O338" s="13" t="str">
        <f>IFERROR(__xludf.DUMMYFUNCTION("IF(REGEXMATCH($D338,O$1),#REF!,"""")"),"")</f>
        <v/>
      </c>
      <c r="P338" s="13" t="str">
        <f>IFERROR(__xludf.DUMMYFUNCTION("IF(REGEXMATCH($D338,P$1),#REF!,"""")"),"")</f>
        <v/>
      </c>
      <c r="Q338" s="13">
        <f>IFERROR(__xludf.DUMMYFUNCTION("IF($A338="""","""",LEN(REGEXREPLACE($I338,"",\s?"","""")))"),5.0)</f>
        <v>5</v>
      </c>
      <c r="S338" s="13"/>
      <c r="T338" s="13"/>
      <c r="U338" s="13"/>
      <c r="V338" s="13"/>
      <c r="W338" s="13"/>
      <c r="X338" s="13"/>
      <c r="Y338" s="13"/>
      <c r="Z338" s="13"/>
      <c r="AA338" s="13"/>
      <c r="AB338" s="13"/>
    </row>
    <row r="339">
      <c r="A339" s="22" t="s">
        <v>1381</v>
      </c>
      <c r="B339" s="10" t="s">
        <v>13</v>
      </c>
      <c r="C339" s="11">
        <v>1.0</v>
      </c>
      <c r="D339" s="11" t="s">
        <v>1329</v>
      </c>
      <c r="E339" s="10" t="s">
        <v>1382</v>
      </c>
      <c r="F339" s="10" t="str">
        <f>IFERROR(__xludf.DUMMYFUNCTION("IF(REGEXMATCH($E339,""Wizard""),""Wizard "","""")&amp;IF(REGEXMATCH($E339,""Construct""),""Construct "","""")&amp;IF(REGEXMATCH($E339,""Insect""),""Insect "","""")&amp;IF(REGEXMATCH($E339,""Dragon""),""Dragon "","""")&amp;IF(REGEXMATCH($E339,""Human""),""Human "","""")&amp;I"&amp;"F(REGEXMATCH($E339,""Hunter""),""Hunter "","""")&amp;IF(REGEXMATCH($E339,""Animal""),""Animal "","""")&amp;IF(REGEXMATCH($E339,""Undead""),""Undead "","""")&amp;IF(REGEXMATCH($E339,""Plant""),""Plant "","""")&amp;IF(REGEXMATCH($E339,""Dinosaur""),""Dinosaur "","""")&amp;IF(R"&amp;"EGEXMATCH($E339,""Warrior""),""Warrior "","""")&amp;IF(REGEXMATCH($E339,""Spirit""),""Spirit "","""")&amp;IF(REGEXMATCH($E339,""Angel""),""Angel "","""")&amp;IF(REGEXMATCH($E339,""Demon""),""Demon "","""")&amp;IF(REGEXMATCH($E339,""Divine""),""Divine "","""")&amp;IF(REGEXMAT"&amp;"CH($E339,""Elemental""),""Elemental "","""")&amp;IF(REGEXMATCH($E339,""Nature""),""Nature "","""")&amp;IF(REGEXMATCH($E339,""Mortal""),""Mortal "","""")&amp;IF(REGEXMATCH($E339,""Void""),""Void "","""")&amp;IF(REGEXMATCH($E339,""Unearth|Ambush|Ritual|unearth|ambush|ritua"&amp;"l""),""Unearth "","""")&amp;IF(REGEXMATCH($E339,""Unleash|Crystallize|all realms|Crystalborn|crystallize""),""Ramp "","""")&amp;IF(REGEXMATCH($E339,""Demon""),""Demon "","""")&amp;IF(REGEXMATCH($E339,""bury|buries|Bury|Buries|Cleanse|puts a Unit|trail|Trail""),""Cont"&amp;"rol "","""")&amp;IF(REGEXMATCH($E339,""Bounce|Return|Copy|bounce|return|copy""),""Copy "","""")&amp;IF(REGEXMATCH($E339,""conquer|Conquer|leading in lanes|lead by""),""Aggro "","""")&amp;IF(REGEXMATCH($E339,""Ascend|ascend""),""Ascend "","""")&amp;IF(REGEXMATCH($E339,""B"&amp;"ury .+ Crystal|.*crystal.*bury""),""Empty-Crystal"","""")&amp;IF(REGEXMATCH($E339,""Move|move""),""Move"","""")"),"Unearth ")</f>
        <v>Unearth </v>
      </c>
      <c r="G339" s="20" t="s">
        <v>1383</v>
      </c>
      <c r="H339" s="11">
        <v>2.0</v>
      </c>
      <c r="I339" s="11" t="s">
        <v>1165</v>
      </c>
      <c r="J339" s="11" t="s">
        <v>50</v>
      </c>
      <c r="K339" s="13" t="str">
        <f>IFERROR(__xludf.DUMMYFUNCTION("IF(REGEXMATCH($B339,M$1),$D339,"""")"),"")</f>
        <v/>
      </c>
      <c r="N339" s="13" t="str">
        <f>IFERROR(__xludf.DUMMYFUNCTION("IF(REGEXMATCH($B339,N$1),$D339,"""")"),"Undead Wizard")</f>
        <v>Undead Wizard</v>
      </c>
      <c r="O339" s="13" t="str">
        <f>IFERROR(__xludf.DUMMYFUNCTION("IF(REGEXMATCH($B339,O$1),$D339,"""")"),"")</f>
        <v/>
      </c>
      <c r="P339" s="13" t="str">
        <f>IFERROR(__xludf.DUMMYFUNCTION("IF(REGEXMATCH($B339,P$1),$D339,"""")"),"")</f>
        <v/>
      </c>
      <c r="Q339" s="13">
        <f>IFERROR(__xludf.DUMMYFUNCTION("IF($A339="""","""",LEN(REGEXREPLACE($I339,"",\s?"","""")))"),3.0)</f>
        <v>3</v>
      </c>
      <c r="S339" s="13"/>
      <c r="T339" s="13"/>
      <c r="U339" s="13"/>
      <c r="V339" s="13"/>
      <c r="W339" s="13"/>
      <c r="X339" s="13"/>
      <c r="Y339" s="13"/>
      <c r="Z339" s="13"/>
      <c r="AA339" s="13"/>
      <c r="AB339" s="13"/>
    </row>
    <row r="340">
      <c r="A340" s="69" t="s">
        <v>1384</v>
      </c>
      <c r="B340" s="10" t="s">
        <v>13</v>
      </c>
      <c r="C340" s="11">
        <v>1.0</v>
      </c>
      <c r="D340" s="11" t="s">
        <v>1329</v>
      </c>
      <c r="E340" s="19" t="s">
        <v>1385</v>
      </c>
      <c r="F340" s="10" t="str">
        <f>IFERROR(__xludf.DUMMYFUNCTION("IF(REGEXMATCH($E340,""Wizard""),""Wizard "","""")&amp;IF(REGEXMATCH($E340,""Construct""),""Construct "","""")&amp;IF(REGEXMATCH($E340,""Insect""),""Insect "","""")&amp;IF(REGEXMATCH($E340,""Dragon""),""Dragon "","""")&amp;IF(REGEXMATCH($E340,""Human""),""Human "","""")&amp;I"&amp;"F(REGEXMATCH($E340,""Hunter""),""Hunter "","""")&amp;IF(REGEXMATCH($E340,""Animal""),""Animal "","""")&amp;IF(REGEXMATCH($E340,""Undead""),""Undead "","""")&amp;IF(REGEXMATCH($E340,""Plant""),""Plant "","""")&amp;IF(REGEXMATCH($E340,""Dinosaur""),""Dinosaur "","""")&amp;IF(R"&amp;"EGEXMATCH($E340,""Warrior""),""Warrior "","""")&amp;IF(REGEXMATCH($E340,""Spirit""),""Spirit "","""")&amp;IF(REGEXMATCH($E340,""Angel""),""Angel "","""")&amp;IF(REGEXMATCH($E340,""Demon""),""Demon "","""")&amp;IF(REGEXMATCH($E340,""Divine""),""Divine "","""")&amp;IF(REGEXMAT"&amp;"CH($E340,""Elemental""),""Elemental "","""")&amp;IF(REGEXMATCH($E340,""Nature""),""Nature "","""")&amp;IF(REGEXMATCH($E340,""Mortal""),""Mortal "","""")&amp;IF(REGEXMATCH($E340,""Void""),""Void "","""")&amp;IF(REGEXMATCH($E340,""Unearth|Ambush|Ritual|unearth|ambush|ritua"&amp;"l""),""Unearth "","""")&amp;IF(REGEXMATCH($E340,""Unleash|Crystallize|all realms|Crystalborn|crystallize""),""Ramp "","""")&amp;IF(REGEXMATCH($E340,""Demon""),""Demon "","""")&amp;IF(REGEXMATCH($E340,""bury|buries|Bury|Buries|Cleanse|puts a Unit|trail|Trail""),""Cont"&amp;"rol "","""")&amp;IF(REGEXMATCH($E340,""Bounce|Return|Copy|bounce|return|copy""),""Copy "","""")&amp;IF(REGEXMATCH($E340,""conquer|Conquer|leading in lanes|lead by""),""Aggro "","""")&amp;IF(REGEXMATCH($E340,""Ascend|ascend""),""Ascend "","""")&amp;IF(REGEXMATCH($E340,""B"&amp;"ury .+ Crystal|.*crystal.*bury""),""Empty-Crystal"","""")&amp;IF(REGEXMATCH($E340,""Move|move""),""Move"","""")"),"")</f>
        <v/>
      </c>
      <c r="G340" s="12" t="s">
        <v>1386</v>
      </c>
      <c r="H340" s="11">
        <v>3.0</v>
      </c>
      <c r="I340" s="11" t="s">
        <v>1196</v>
      </c>
      <c r="J340" s="11" t="s">
        <v>33</v>
      </c>
      <c r="L340" s="13" t="str">
        <f>IFERROR(__xludf.DUMMYFUNCTION("IF(REGEXMATCH($B340,L$1),$D340,"""")"),"")</f>
        <v/>
      </c>
      <c r="M340" s="13" t="str">
        <f>IFERROR(__xludf.DUMMYFUNCTION("IF(REGEXMATCH($B340,M$1),$D340,"""")"),"")</f>
        <v/>
      </c>
      <c r="N340" s="13" t="str">
        <f>IFERROR(__xludf.DUMMYFUNCTION("IF(REGEXMATCH($B340,N$1),$D340,"""")"),"Undead Wizard")</f>
        <v>Undead Wizard</v>
      </c>
      <c r="O340" s="13" t="str">
        <f>IFERROR(__xludf.DUMMYFUNCTION("IF(REGEXMATCH($B340,O$1),$D340,"""")"),"")</f>
        <v/>
      </c>
      <c r="P340" s="13" t="str">
        <f>IFERROR(__xludf.DUMMYFUNCTION("IF(REGEXMATCH($B340,P$1),$D340,"""")"),"")</f>
        <v/>
      </c>
      <c r="Q340" s="13">
        <f>IFERROR(__xludf.DUMMYFUNCTION("IF($A340="""","""",LEN(REGEXREPLACE($I340,"",\s?"","""")))"),6.0)</f>
        <v>6</v>
      </c>
      <c r="S340" s="13"/>
      <c r="T340" s="13"/>
      <c r="U340" s="13"/>
      <c r="V340" s="13"/>
      <c r="W340" s="13"/>
      <c r="X340" s="13"/>
      <c r="Y340" s="13"/>
      <c r="Z340" s="13"/>
      <c r="AA340" s="13"/>
      <c r="AB340" s="13"/>
    </row>
    <row r="341">
      <c r="A341" s="88" t="s">
        <v>1387</v>
      </c>
      <c r="B341" s="10"/>
      <c r="C341" s="11">
        <v>1.0</v>
      </c>
      <c r="D341" s="21" t="s">
        <v>125</v>
      </c>
      <c r="F341" s="10" t="str">
        <f>IFERROR(__xludf.DUMMYFUNCTION("IF(REGEXMATCH($E341,""Wizard""),""Wizard "","""")&amp;IF(REGEXMATCH($E341,""Construct""),""Construct "","""")&amp;IF(REGEXMATCH($E341,""Insect""),""Insect "","""")&amp;IF(REGEXMATCH($E341,""Dragon""),""Dragon "","""")&amp;IF(REGEXMATCH($E341,""Human""),""Human "","""")&amp;I"&amp;"F(REGEXMATCH($E341,""Hunter""),""Hunter "","""")&amp;IF(REGEXMATCH($E341,""Animal""),""Animal "","""")&amp;IF(REGEXMATCH($E341,""Undead""),""Undead "","""")&amp;IF(REGEXMATCH($E341,""Plant""),""Plant "","""")&amp;IF(REGEXMATCH($E341,""Dinosaur""),""Dinosaur "","""")&amp;IF(R"&amp;"EGEXMATCH($E341,""Warrior""),""Warrior "","""")&amp;IF(REGEXMATCH($E341,""Spirit""),""Spirit "","""")&amp;IF(REGEXMATCH($E341,""Angel""),""Angel "","""")&amp;IF(REGEXMATCH($E341,""Demon""),""Demon "","""")&amp;IF(REGEXMATCH($E341,""Divine""),""Divine "","""")&amp;IF(REGEXMAT"&amp;"CH($E341,""Elemental""),""Elemental "","""")&amp;IF(REGEXMATCH($E341,""Nature""),""Nature "","""")&amp;IF(REGEXMATCH($E341,""Mortal""),""Mortal "","""")&amp;IF(REGEXMATCH($E341,""Void""),""Void "","""")&amp;IF(REGEXMATCH($E341,""Unearth|Ambush|Ritual|unearth|ambush|ritua"&amp;"l""),""Unearth "","""")&amp;IF(REGEXMATCH($E341,""Unleash|Crystallize|all realms|Crystalborn|crystallize""),""Ramp "","""")&amp;IF(REGEXMATCH($E341,""Demon""),""Demon "","""")&amp;IF(REGEXMATCH($E341,""bury|buries|Bury|Buries|Cleanse|puts a Unit|trail|Trail""),""Cont"&amp;"rol "","""")&amp;IF(REGEXMATCH($E341,""Bounce|Return|Copy|bounce|return|copy""),""Copy "","""")&amp;IF(REGEXMATCH($E341,""conquer|Conquer|leading in lanes|lead by""),""Aggro "","""")&amp;IF(REGEXMATCH($E341,""Ascend|ascend""),""Ascend "","""")&amp;IF(REGEXMATCH($E341,""B"&amp;"ury .+ Crystal|.*crystal.*bury""),""Empty-Crystal"","""")&amp;IF(REGEXMATCH($E341,""Move|move""),""Move"","""")"),"")</f>
        <v/>
      </c>
      <c r="G341" s="12" t="s">
        <v>1388</v>
      </c>
      <c r="H341" s="11">
        <v>3.0</v>
      </c>
      <c r="I341" s="11" t="s">
        <v>1363</v>
      </c>
      <c r="J341" s="21" t="s">
        <v>42</v>
      </c>
      <c r="L341" s="13" t="str">
        <f>IFERROR(__xludf.DUMMYFUNCTION("IF(REGEXMATCH($B341,L$1),$D341,"""")"),"")</f>
        <v/>
      </c>
      <c r="M341" s="13" t="str">
        <f>IFERROR(__xludf.DUMMYFUNCTION("IF(REGEXMATCH($B341,M$1),$D341,"""")"),"")</f>
        <v/>
      </c>
      <c r="N341" s="13" t="str">
        <f>IFERROR(__xludf.DUMMYFUNCTION("IF(REGEXMATCH($B341,N$1),$D341,"""")"),"")</f>
        <v/>
      </c>
      <c r="O341" s="13" t="str">
        <f>IFERROR(__xludf.DUMMYFUNCTION("IF(REGEXMATCH($B341,O$1),$D341,"""")"),"")</f>
        <v/>
      </c>
      <c r="P341" s="13" t="str">
        <f>IFERROR(__xludf.DUMMYFUNCTION("IF(REGEXMATCH($B341,P$1),$D341,"""")"),"")</f>
        <v/>
      </c>
      <c r="Q341" s="13">
        <f>IFERROR(__xludf.DUMMYFUNCTION("IF($A341="""","""",LEN(REGEXREPLACE($I341,"",\s?"","""")))"),4.0)</f>
        <v>4</v>
      </c>
      <c r="S341" s="13"/>
      <c r="T341" s="13"/>
      <c r="U341" s="13"/>
      <c r="V341" s="13"/>
      <c r="W341" s="13"/>
      <c r="X341" s="13"/>
      <c r="Y341" s="13"/>
      <c r="Z341" s="13"/>
      <c r="AA341" s="13"/>
      <c r="AB341" s="13"/>
    </row>
    <row r="342">
      <c r="A342" s="10" t="s">
        <v>1389</v>
      </c>
      <c r="B342" s="10"/>
      <c r="C342" s="11">
        <v>1.0</v>
      </c>
      <c r="D342" s="11" t="s">
        <v>252</v>
      </c>
      <c r="F342" s="10" t="str">
        <f>IFERROR(__xludf.DUMMYFUNCTION("IF(REGEXMATCH($E342,""Wizard""),""Wizard "","""")&amp;IF(REGEXMATCH($E342,""Construct""),""Construct "","""")&amp;IF(REGEXMATCH($E342,""Insect""),""Insect "","""")&amp;IF(REGEXMATCH($E342,""Dragon""),""Dragon "","""")&amp;IF(REGEXMATCH($E342,""Human""),""Human "","""")&amp;I"&amp;"F(REGEXMATCH($E342,""Hunter""),""Hunter "","""")&amp;IF(REGEXMATCH($E342,""Animal""),""Animal "","""")&amp;IF(REGEXMATCH($E342,""Undead""),""Undead "","""")&amp;IF(REGEXMATCH($E342,""Plant""),""Plant "","""")&amp;IF(REGEXMATCH($E342,""Dinosaur""),""Dinosaur "","""")&amp;IF(R"&amp;"EGEXMATCH($E342,""Warrior""),""Warrior "","""")&amp;IF(REGEXMATCH($E342,""Spirit""),""Spirit "","""")&amp;IF(REGEXMATCH($E342,""Angel""),""Angel "","""")&amp;IF(REGEXMATCH($E342,""Demon""),""Demon "","""")&amp;IF(REGEXMATCH($E342,""Divine""),""Divine "","""")&amp;IF(REGEXMAT"&amp;"CH($E342,""Elemental""),""Elemental "","""")&amp;IF(REGEXMATCH($E342,""Nature""),""Nature "","""")&amp;IF(REGEXMATCH($E342,""Mortal""),""Mortal "","""")&amp;IF(REGEXMATCH($E342,""Void""),""Void "","""")&amp;IF(REGEXMATCH($E342,""Unearth|Ambush|Ritual|unearth|ambush|ritua"&amp;"l""),""Unearth "","""")&amp;IF(REGEXMATCH($E342,""Unleash|Crystallize|all realms|Crystalborn|crystallize""),""Ramp "","""")&amp;IF(REGEXMATCH($E342,""Demon""),""Demon "","""")&amp;IF(REGEXMATCH($E342,""bury|buries|Bury|Buries|Cleanse|puts a Unit|trail|Trail""),""Cont"&amp;"rol "","""")&amp;IF(REGEXMATCH($E342,""Bounce|Return|Copy|bounce|return|copy""),""Copy "","""")&amp;IF(REGEXMATCH($E342,""conquer|Conquer|leading in lanes|lead by""),""Aggro "","""")&amp;IF(REGEXMATCH($E342,""Ascend|ascend""),""Ascend "","""")&amp;IF(REGEXMATCH($E342,""B"&amp;"ury .+ Crystal|.*crystal.*bury""),""Empty-Crystal"","""")&amp;IF(REGEXMATCH($E342,""Move|move""),""Move"","""")"),"")</f>
        <v/>
      </c>
      <c r="G342" s="12" t="s">
        <v>1390</v>
      </c>
      <c r="H342" s="11">
        <v>6.0</v>
      </c>
      <c r="I342" s="11" t="s">
        <v>1391</v>
      </c>
      <c r="J342" s="11" t="s">
        <v>42</v>
      </c>
      <c r="L342" s="13" t="str">
        <f>IFERROR(__xludf.DUMMYFUNCTION("IF(REGEXMATCH($B342,L$1),$D342,"""")"),"")</f>
        <v/>
      </c>
      <c r="M342" s="13" t="str">
        <f>IFERROR(__xludf.DUMMYFUNCTION("IF(REGEXMATCH($B342,M$1),$D342,"""")"),"")</f>
        <v/>
      </c>
      <c r="N342" s="13" t="str">
        <f>IFERROR(__xludf.DUMMYFUNCTION("IF(REGEXMATCH($B342,N$1),$D342,"""")"),"")</f>
        <v/>
      </c>
      <c r="O342" s="13" t="str">
        <f>IFERROR(__xludf.DUMMYFUNCTION("IF(REGEXMATCH($B342,O$1),$D342,"""")"),"")</f>
        <v/>
      </c>
      <c r="P342" s="13" t="str">
        <f>IFERROR(__xludf.DUMMYFUNCTION("IF(REGEXMATCH($B342,P$1),$D342,"""")"),"")</f>
        <v/>
      </c>
      <c r="Q342" s="13">
        <f>IFERROR(__xludf.DUMMYFUNCTION("IF($A342="""","""",LEN(REGEXREPLACE($I342,"",\s?"","""")))"),7.0)</f>
        <v>7</v>
      </c>
      <c r="S342" s="13"/>
      <c r="T342" s="13"/>
      <c r="U342" s="13"/>
      <c r="V342" s="13"/>
      <c r="W342" s="13"/>
      <c r="X342" s="13"/>
      <c r="Y342" s="13"/>
      <c r="Z342" s="13"/>
      <c r="AA342" s="13"/>
      <c r="AB342" s="13"/>
    </row>
    <row r="343">
      <c r="A343" s="10" t="s">
        <v>1392</v>
      </c>
      <c r="B343" s="10"/>
      <c r="C343" s="18">
        <v>1.0</v>
      </c>
      <c r="D343" s="11"/>
      <c r="E343" s="10" t="s">
        <v>1393</v>
      </c>
      <c r="F343" s="10" t="str">
        <f>IFERROR(__xludf.DUMMYFUNCTION("IF(REGEXMATCH($E343,""Wizard""),""Wizard "","""")&amp;IF(REGEXMATCH($E343,""Construct""),""Construct "","""")&amp;IF(REGEXMATCH($E343,""Insect""),""Insect "","""")&amp;IF(REGEXMATCH($E343,""Dragon""),""Dragon "","""")&amp;IF(REGEXMATCH($E343,""Human""),""Human "","""")&amp;I"&amp;"F(REGEXMATCH($E343,""Hunter""),""Hunter "","""")&amp;IF(REGEXMATCH($E343,""Animal""),""Animal "","""")&amp;IF(REGEXMATCH($E343,""Undead""),""Undead "","""")&amp;IF(REGEXMATCH($E343,""Plant""),""Plant "","""")&amp;IF(REGEXMATCH($E343,""Dinosaur""),""Dinosaur "","""")&amp;IF(R"&amp;"EGEXMATCH($E343,""Warrior""),""Warrior "","""")&amp;IF(REGEXMATCH($E343,""Spirit""),""Spirit "","""")&amp;IF(REGEXMATCH($E343,""Angel""),""Angel "","""")&amp;IF(REGEXMATCH($E343,""Demon""),""Demon "","""")&amp;IF(REGEXMATCH($E343,""Divine""),""Divine "","""")&amp;IF(REGEXMAT"&amp;"CH($E343,""Elemental""),""Elemental "","""")&amp;IF(REGEXMATCH($E343,""Nature""),""Nature "","""")&amp;IF(REGEXMATCH($E343,""Mortal""),""Mortal "","""")&amp;IF(REGEXMATCH($E343,""Void""),""Void "","""")&amp;IF(REGEXMATCH($E343,""Unearth|Ambush|Ritual|unearth|ambush|ritua"&amp;"l""),""Unearth "","""")&amp;IF(REGEXMATCH($E343,""Unleash|Crystallize|all realms|Crystalborn|crystallize""),""Ramp "","""")&amp;IF(REGEXMATCH($E343,""Demon""),""Demon "","""")&amp;IF(REGEXMATCH($E343,""bury|buries|Bury|Buries|Cleanse|puts a Unit|trail|Trail""),""Cont"&amp;"rol "","""")&amp;IF(REGEXMATCH($E343,""Bounce|Return|Copy|bounce|return|copy""),""Copy "","""")&amp;IF(REGEXMATCH($E343,""conquer|Conquer|leading in lanes|lead by""),""Aggro "","""")&amp;IF(REGEXMATCH($E343,""Ascend|ascend""),""Ascend "","""")&amp;IF(REGEXMATCH($E343,""B"&amp;"ury .+ Crystal|.*crystal.*bury""),""Empty-Crystal"","""")&amp;IF(REGEXMATCH($E343,""Move|move""),""Move"","""")"),"")</f>
        <v/>
      </c>
      <c r="G343" s="12" t="s">
        <v>1394</v>
      </c>
      <c r="H343" s="11">
        <v>2.0</v>
      </c>
      <c r="I343" s="11" t="s">
        <v>1395</v>
      </c>
      <c r="J343" s="11" t="s">
        <v>33</v>
      </c>
      <c r="L343" s="13" t="str">
        <f>IFERROR(__xludf.DUMMYFUNCTION("IF(REGEXMATCH($B343,L$1),$D343,"""")"),"")</f>
        <v/>
      </c>
      <c r="M343" s="13" t="str">
        <f>IFERROR(__xludf.DUMMYFUNCTION("IF(REGEXMATCH($B343,M$1),$D343,"""")"),"")</f>
        <v/>
      </c>
      <c r="N343" s="13" t="str">
        <f>IFERROR(__xludf.DUMMYFUNCTION("IF(REGEXMATCH($B343,N$1),$D343,"""")"),"")</f>
        <v/>
      </c>
      <c r="O343" s="13" t="str">
        <f>IFERROR(__xludf.DUMMYFUNCTION("IF(REGEXMATCH($B343,O$1),$D343,"""")"),"")</f>
        <v/>
      </c>
      <c r="P343" s="13" t="str">
        <f>IFERROR(__xludf.DUMMYFUNCTION("IF(REGEXMATCH($B343,P$1),$D343,"""")"),"")</f>
        <v/>
      </c>
      <c r="Q343" s="13">
        <f>IFERROR(__xludf.DUMMYFUNCTION("IF($A343="""","""",LEN(REGEXREPLACE($I343,"",\s?"","""")))"),2.0)</f>
        <v>2</v>
      </c>
      <c r="S343" s="13"/>
      <c r="T343" s="13"/>
      <c r="U343" s="13"/>
      <c r="V343" s="13"/>
      <c r="W343" s="13"/>
      <c r="X343" s="13"/>
      <c r="Y343" s="13"/>
      <c r="Z343" s="13"/>
      <c r="AA343" s="13"/>
      <c r="AB343" s="13"/>
    </row>
    <row r="344">
      <c r="A344" s="10" t="s">
        <v>1396</v>
      </c>
      <c r="B344" s="19"/>
      <c r="C344" s="18">
        <v>1.0</v>
      </c>
      <c r="D344" s="11"/>
      <c r="E344" s="10" t="s">
        <v>1397</v>
      </c>
      <c r="F344" s="10" t="str">
        <f>IFERROR(__xludf.DUMMYFUNCTION("IF(REGEXMATCH($E344,""Wizard""),""Wizard "","""")&amp;IF(REGEXMATCH($E344,""Construct""),""Construct "","""")&amp;IF(REGEXMATCH($E344,""Insect""),""Insect "","""")&amp;IF(REGEXMATCH($E344,""Dragon""),""Dragon "","""")&amp;IF(REGEXMATCH($E344,""Human""),""Human "","""")&amp;I"&amp;"F(REGEXMATCH($E344,""Hunter""),""Hunter "","""")&amp;IF(REGEXMATCH($E344,""Animal""),""Animal "","""")&amp;IF(REGEXMATCH($E344,""Undead""),""Undead "","""")&amp;IF(REGEXMATCH($E344,""Plant""),""Plant "","""")&amp;IF(REGEXMATCH($E344,""Dinosaur""),""Dinosaur "","""")&amp;IF(R"&amp;"EGEXMATCH($E344,""Warrior""),""Warrior "","""")&amp;IF(REGEXMATCH($E344,""Spirit""),""Spirit "","""")&amp;IF(REGEXMATCH($E344,""Angel""),""Angel "","""")&amp;IF(REGEXMATCH($E344,""Demon""),""Demon "","""")&amp;IF(REGEXMATCH($E344,""Divine""),""Divine "","""")&amp;IF(REGEXMAT"&amp;"CH($E344,""Elemental""),""Elemental "","""")&amp;IF(REGEXMATCH($E344,""Nature""),""Nature "","""")&amp;IF(REGEXMATCH($E344,""Mortal""),""Mortal "","""")&amp;IF(REGEXMATCH($E344,""Void""),""Void "","""")&amp;IF(REGEXMATCH($E344,""Unearth|Ambush|Ritual|unearth|ambush|ritua"&amp;"l""),""Unearth "","""")&amp;IF(REGEXMATCH($E344,""Unleash|Crystallize|all realms|Crystalborn|crystallize""),""Ramp "","""")&amp;IF(REGEXMATCH($E344,""Demon""),""Demon "","""")&amp;IF(REGEXMATCH($E344,""bury|buries|Bury|Buries|Cleanse|puts a Unit|trail|Trail""),""Cont"&amp;"rol "","""")&amp;IF(REGEXMATCH($E344,""Bounce|Return|Copy|bounce|return|copy""),""Copy "","""")&amp;IF(REGEXMATCH($E344,""conquer|Conquer|leading in lanes|lead by""),""Aggro "","""")&amp;IF(REGEXMATCH($E344,""Ascend|ascend""),""Ascend "","""")&amp;IF(REGEXMATCH($E344,""B"&amp;"ury .+ Crystal|.*crystal.*bury""),""Empty-Crystal"","""")&amp;IF(REGEXMATCH($E344,""Move|move""),""Move"","""")"),"")</f>
        <v/>
      </c>
      <c r="G344" s="12" t="s">
        <v>1398</v>
      </c>
      <c r="H344" s="11">
        <v>2.0</v>
      </c>
      <c r="I344" s="11" t="s">
        <v>1395</v>
      </c>
      <c r="J344" s="11" t="s">
        <v>33</v>
      </c>
      <c r="L344" s="13" t="str">
        <f>IFERROR(__xludf.DUMMYFUNCTION("IF(REGEXMATCH($B344,L$1),$D344,"""")"),"")</f>
        <v/>
      </c>
      <c r="M344" s="13" t="str">
        <f>IFERROR(__xludf.DUMMYFUNCTION("IF(REGEXMATCH($B344,M$1),$D344,"""")"),"")</f>
        <v/>
      </c>
      <c r="N344" s="13" t="str">
        <f>IFERROR(__xludf.DUMMYFUNCTION("IF(REGEXMATCH($B344,N$1),$D344,"""")"),"")</f>
        <v/>
      </c>
      <c r="O344" s="13" t="str">
        <f>IFERROR(__xludf.DUMMYFUNCTION("IF(REGEXMATCH($B344,O$1),$D344,"""")"),"")</f>
        <v/>
      </c>
      <c r="P344" s="13" t="str">
        <f>IFERROR(__xludf.DUMMYFUNCTION("IF(REGEXMATCH($B344,P$1),$D344,"""")"),"")</f>
        <v/>
      </c>
      <c r="Q344" s="13">
        <f>IFERROR(__xludf.DUMMYFUNCTION("IF($A344="""","""",LEN(REGEXREPLACE($I344,"",\s?"","""")))"),2.0)</f>
        <v>2</v>
      </c>
      <c r="S344" s="13"/>
      <c r="T344" s="13"/>
      <c r="U344" s="13"/>
      <c r="V344" s="13"/>
      <c r="W344" s="13"/>
      <c r="X344" s="13"/>
      <c r="Y344" s="13"/>
      <c r="Z344" s="13"/>
      <c r="AA344" s="13"/>
      <c r="AB344" s="13"/>
    </row>
    <row r="345" hidden="1">
      <c r="C345" s="89"/>
      <c r="D345" s="89"/>
      <c r="F345" s="10" t="str">
        <f>IFERROR(__xludf.DUMMYFUNCTION("IF(REGEXMATCH($E345,""Wizard""),""Wizard "","""")&amp;IF(REGEXMATCH($E345,""Construct""),""Construct "","""")&amp;IF(REGEXMATCH($E345,""Insect""),""Insect "","""")&amp;IF(REGEXMATCH($E345,""Dragon""),""Dragon "","""")&amp;IF(REGEXMATCH($E345,""Human""),""Human "","""")&amp;I"&amp;"F(REGEXMATCH($E345,""Hunter""),""Hunter "","""")&amp;IF(REGEXMATCH($E345,""Animal""),""Animal "","""")&amp;IF(REGEXMATCH($E345,""Undead""),""Undead "","""")&amp;IF(REGEXMATCH($E345,""Plant""),""Plant "","""")&amp;IF(REGEXMATCH($E345,""Dinosaur""),""Dinosaur "","""")&amp;IF(R"&amp;"EGEXMATCH($E345,""Warrior""),""Warrior "","""")&amp;IF(REGEXMATCH($E345,""Spirit""),""Spirit "","""")&amp;IF(REGEXMATCH($E345,""Angel""),""Angel "","""")&amp;IF(REGEXMATCH($E345,""Demon""),""Demon "","""")&amp;IF(REGEXMATCH($E345,""Divine""),""Divine "","""")&amp;IF(REGEXMAT"&amp;"CH($E345,""Elemental""),""Elemental "","""")&amp;IF(REGEXMATCH($E345,""Nature""),""Nature "","""")&amp;IF(REGEXMATCH($E345,""Mortal""),""Mortal "","""")&amp;IF(REGEXMATCH($E345,""Void""),""Void "","""")&amp;IF(REGEXMATCH($E345,""Unearth|Ambush|Ritual|unearth|ambush|ritua"&amp;"l""),""Unearth "","""")&amp;IF(REGEXMATCH($E345,""Unleash|Crystallize|all realms|Crystalborn|crystallize""),""Ramp "","""")&amp;IF(REGEXMATCH($E345,""Demon""),""Demon "","""")&amp;IF(REGEXMATCH($E345,""bury|buries|Bury|Buries|Cleanse|puts a Unit|trail|Trail""),""Cont"&amp;"rol "","""")&amp;IF(REGEXMATCH($E345,""Bounce|Return|Copy|bounce|return|copy""),""Copy "","""")&amp;IF(REGEXMATCH($E345,""conquer|Conquer|leading in lanes|lead by""),""Aggro "","""")&amp;IF(REGEXMATCH($E345,""Ascend|ascend""),""Ascend "","""")&amp;IF(REGEXMATCH($E345,""B"&amp;"ury .+ Crystal|.*crystal.*bury""),""Empty-Crystal"","""")&amp;IF(REGEXMATCH($E345,""Move|move""),""Move"","""")"),"")</f>
        <v/>
      </c>
      <c r="G345" s="56"/>
      <c r="H345" s="89"/>
      <c r="I345" s="89"/>
      <c r="J345" s="89"/>
      <c r="L345" s="13" t="str">
        <f>IFERROR(__xludf.DUMMYFUNCTION("IF(REGEXMATCH($B345,L$1),$D345,"""")"),"")</f>
        <v/>
      </c>
      <c r="M345" s="13" t="str">
        <f>IFERROR(__xludf.DUMMYFUNCTION("IF(REGEXMATCH($B345,M$1),$D345,"""")"),"")</f>
        <v/>
      </c>
      <c r="N345" s="13" t="str">
        <f>IFERROR(__xludf.DUMMYFUNCTION("IF(REGEXMATCH($B345,N$1),$D345,"""")"),"")</f>
        <v/>
      </c>
      <c r="O345" s="13" t="str">
        <f>IFERROR(__xludf.DUMMYFUNCTION("IF(REGEXMATCH($B345,O$1),$D345,"""")"),"")</f>
        <v/>
      </c>
      <c r="P345" s="13" t="str">
        <f>IFERROR(__xludf.DUMMYFUNCTION("IF(REGEXMATCH($B345,P$1),$D345,"""")"),"")</f>
        <v/>
      </c>
      <c r="Q345" s="13" t="str">
        <f>IFERROR(__xludf.DUMMYFUNCTION("IF($A345="""","""",LEN(REGEXREPLACE($I345,"",\s?"","""")))"),"")</f>
        <v/>
      </c>
      <c r="S345" s="13"/>
      <c r="T345" s="13"/>
      <c r="U345" s="13"/>
      <c r="V345" s="13"/>
      <c r="W345" s="13"/>
      <c r="X345" s="13"/>
      <c r="Y345" s="13"/>
      <c r="Z345" s="13"/>
      <c r="AA345" s="13"/>
      <c r="AB345" s="13"/>
    </row>
    <row r="346" hidden="1">
      <c r="C346" s="89"/>
      <c r="D346" s="89"/>
      <c r="F346" s="10" t="str">
        <f>IFERROR(__xludf.DUMMYFUNCTION("IF(REGEXMATCH($E346,""Wizard""),""Wizard "","""")&amp;IF(REGEXMATCH($E346,""Construct""),""Construct "","""")&amp;IF(REGEXMATCH($E346,""Insect""),""Insect "","""")&amp;IF(REGEXMATCH($E346,""Dragon""),""Dragon "","""")&amp;IF(REGEXMATCH($E346,""Human""),""Human "","""")&amp;I"&amp;"F(REGEXMATCH($E346,""Hunter""),""Hunter "","""")&amp;IF(REGEXMATCH($E346,""Animal""),""Animal "","""")&amp;IF(REGEXMATCH($E346,""Undead""),""Undead "","""")&amp;IF(REGEXMATCH($E346,""Plant""),""Plant "","""")&amp;IF(REGEXMATCH($E346,""Dinosaur""),""Dinosaur "","""")&amp;IF(R"&amp;"EGEXMATCH($E346,""Warrior""),""Warrior "","""")&amp;IF(REGEXMATCH($E346,""Spirit""),""Spirit "","""")&amp;IF(REGEXMATCH($E346,""Angel""),""Angel "","""")&amp;IF(REGEXMATCH($E346,""Demon""),""Demon "","""")&amp;IF(REGEXMATCH($E346,""Divine""),""Divine "","""")&amp;IF(REGEXMAT"&amp;"CH($E346,""Elemental""),""Elemental "","""")&amp;IF(REGEXMATCH($E346,""Nature""),""Nature "","""")&amp;IF(REGEXMATCH($E346,""Mortal""),""Mortal "","""")&amp;IF(REGEXMATCH($E346,""Void""),""Void "","""")&amp;IF(REGEXMATCH($E346,""Unearth|Ambush|Ritual|unearth|ambush|ritua"&amp;"l""),""Unearth "","""")&amp;IF(REGEXMATCH($E346,""Unleash|Crystallize|all realms|Crystalborn|crystallize""),""Ramp "","""")&amp;IF(REGEXMATCH($E346,""Demon""),""Demon "","""")&amp;IF(REGEXMATCH($E346,""bury|buries|Bury|Buries|Cleanse|puts a Unit|trail|Trail""),""Cont"&amp;"rol "","""")&amp;IF(REGEXMATCH($E346,""Bounce|Return|Copy|bounce|return|copy""),""Copy "","""")&amp;IF(REGEXMATCH($E346,""conquer|Conquer|leading in lanes|lead by""),""Aggro "","""")&amp;IF(REGEXMATCH($E346,""Ascend|ascend""),""Ascend "","""")&amp;IF(REGEXMATCH($E346,""B"&amp;"ury .+ Crystal|.*crystal.*bury""),""Empty-Crystal"","""")&amp;IF(REGEXMATCH($E346,""Move|move""),""Move"","""")"),"")</f>
        <v/>
      </c>
      <c r="G346" s="56"/>
      <c r="H346" s="89"/>
      <c r="I346" s="89"/>
      <c r="J346" s="89"/>
      <c r="L346" s="13" t="str">
        <f>IFERROR(__xludf.DUMMYFUNCTION("IF(REGEXMATCH($B346,L$1),$D346,"""")"),"")</f>
        <v/>
      </c>
      <c r="M346" s="13" t="str">
        <f>IFERROR(__xludf.DUMMYFUNCTION("IF(REGEXMATCH($B346,M$1),$D346,"""")"),"")</f>
        <v/>
      </c>
      <c r="N346" s="13" t="str">
        <f>IFERROR(__xludf.DUMMYFUNCTION("IF(REGEXMATCH($B346,N$1),$D346,"""")"),"")</f>
        <v/>
      </c>
      <c r="O346" s="13" t="str">
        <f>IFERROR(__xludf.DUMMYFUNCTION("IF(REGEXMATCH($B346,O$1),$D346,"""")"),"")</f>
        <v/>
      </c>
      <c r="P346" s="13" t="str">
        <f>IFERROR(__xludf.DUMMYFUNCTION("IF(REGEXMATCH($B346,P$1),$D346,"""")"),"")</f>
        <v/>
      </c>
      <c r="Q346" s="13" t="str">
        <f>IFERROR(__xludf.DUMMYFUNCTION("IF($A346="""","""",LEN(REGEXREPLACE($I346,"",\s?"","""")))"),"")</f>
        <v/>
      </c>
      <c r="S346" s="13"/>
      <c r="T346" s="13"/>
      <c r="U346" s="13"/>
      <c r="V346" s="13"/>
      <c r="W346" s="13"/>
      <c r="X346" s="13"/>
      <c r="Y346" s="13"/>
      <c r="Z346" s="13"/>
      <c r="AA346" s="13"/>
      <c r="AB346" s="13"/>
    </row>
    <row r="347" hidden="1">
      <c r="C347" s="89"/>
      <c r="D347" s="89"/>
      <c r="F347" s="10" t="str">
        <f>IFERROR(__xludf.DUMMYFUNCTION("IF(REGEXMATCH($E347,""Wizard""),""Wizard "","""")&amp;IF(REGEXMATCH($E347,""Construct""),""Construct "","""")&amp;IF(REGEXMATCH($E347,""Insect""),""Insect "","""")&amp;IF(REGEXMATCH($E347,""Dragon""),""Dragon "","""")&amp;IF(REGEXMATCH($E347,""Human""),""Human "","""")&amp;I"&amp;"F(REGEXMATCH($E347,""Hunter""),""Hunter "","""")&amp;IF(REGEXMATCH($E347,""Animal""),""Animal "","""")&amp;IF(REGEXMATCH($E347,""Undead""),""Undead "","""")&amp;IF(REGEXMATCH($E347,""Plant""),""Plant "","""")&amp;IF(REGEXMATCH($E347,""Dinosaur""),""Dinosaur "","""")&amp;IF(R"&amp;"EGEXMATCH($E347,""Warrior""),""Warrior "","""")&amp;IF(REGEXMATCH($E347,""Spirit""),""Spirit "","""")&amp;IF(REGEXMATCH($E347,""Angel""),""Angel "","""")&amp;IF(REGEXMATCH($E347,""Demon""),""Demon "","""")&amp;IF(REGEXMATCH($E347,""Divine""),""Divine "","""")&amp;IF(REGEXMAT"&amp;"CH($E347,""Elemental""),""Elemental "","""")&amp;IF(REGEXMATCH($E347,""Nature""),""Nature "","""")&amp;IF(REGEXMATCH($E347,""Mortal""),""Mortal "","""")&amp;IF(REGEXMATCH($E347,""Void""),""Void "","""")&amp;IF(REGEXMATCH($E347,""Unearth|Ambush|Ritual|unearth|ambush|ritua"&amp;"l""),""Unearth "","""")&amp;IF(REGEXMATCH($E347,""Unleash|Crystallize|all realms|Crystalborn|crystallize""),""Ramp "","""")&amp;IF(REGEXMATCH($E347,""Demon""),""Demon "","""")&amp;IF(REGEXMATCH($E347,""bury|buries|Bury|Buries|Cleanse|puts a Unit|trail|Trail""),""Cont"&amp;"rol "","""")&amp;IF(REGEXMATCH($E347,""Bounce|Return|Copy|bounce|return|copy""),""Copy "","""")&amp;IF(REGEXMATCH($E347,""conquer|Conquer|leading in lanes|lead by""),""Aggro "","""")&amp;IF(REGEXMATCH($E347,""Ascend|ascend""),""Ascend "","""")&amp;IF(REGEXMATCH($E347,""B"&amp;"ury .+ Crystal|.*crystal.*bury""),""Empty-Crystal"","""")&amp;IF(REGEXMATCH($E347,""Move|move""),""Move"","""")"),"")</f>
        <v/>
      </c>
      <c r="G347" s="56"/>
      <c r="H347" s="89"/>
      <c r="I347" s="89"/>
      <c r="J347" s="89"/>
      <c r="L347" s="13" t="str">
        <f>IFERROR(__xludf.DUMMYFUNCTION("IF(REGEXMATCH($B347,L$1),$D347,"""")"),"")</f>
        <v/>
      </c>
      <c r="M347" s="13" t="str">
        <f>IFERROR(__xludf.DUMMYFUNCTION("IF(REGEXMATCH($B347,M$1),$D347,"""")"),"")</f>
        <v/>
      </c>
      <c r="N347" s="13" t="str">
        <f>IFERROR(__xludf.DUMMYFUNCTION("IF(REGEXMATCH($B347,N$1),$D347,"""")"),"")</f>
        <v/>
      </c>
      <c r="O347" s="13" t="str">
        <f>IFERROR(__xludf.DUMMYFUNCTION("IF(REGEXMATCH($B347,O$1),$D347,"""")"),"")</f>
        <v/>
      </c>
      <c r="P347" s="13" t="str">
        <f>IFERROR(__xludf.DUMMYFUNCTION("IF(REGEXMATCH($B347,P$1),$D347,"""")"),"")</f>
        <v/>
      </c>
      <c r="Q347" s="13" t="str">
        <f>IFERROR(__xludf.DUMMYFUNCTION("IF($A347="""","""",LEN(REGEXREPLACE($I347,"",\s?"","""")))"),"")</f>
        <v/>
      </c>
      <c r="S347" s="13"/>
      <c r="T347" s="13"/>
      <c r="U347" s="13"/>
      <c r="V347" s="13"/>
      <c r="W347" s="13"/>
      <c r="X347" s="13"/>
      <c r="Y347" s="13"/>
      <c r="Z347" s="13"/>
      <c r="AA347" s="13"/>
      <c r="AB347" s="13"/>
    </row>
    <row r="348" hidden="1">
      <c r="C348" s="89"/>
      <c r="D348" s="89"/>
      <c r="F348" s="10" t="str">
        <f>IFERROR(__xludf.DUMMYFUNCTION("IF(REGEXMATCH($E348,""Wizard""),""Wizard "","""")&amp;IF(REGEXMATCH($E348,""Construct""),""Construct "","""")&amp;IF(REGEXMATCH($E348,""Insect""),""Insect "","""")&amp;IF(REGEXMATCH($E348,""Dragon""),""Dragon "","""")&amp;IF(REGEXMATCH($E348,""Human""),""Human "","""")&amp;I"&amp;"F(REGEXMATCH($E348,""Hunter""),""Hunter "","""")&amp;IF(REGEXMATCH($E348,""Animal""),""Animal "","""")&amp;IF(REGEXMATCH($E348,""Undead""),""Undead "","""")&amp;IF(REGEXMATCH($E348,""Plant""),""Plant "","""")&amp;IF(REGEXMATCH($E348,""Dinosaur""),""Dinosaur "","""")&amp;IF(R"&amp;"EGEXMATCH($E348,""Warrior""),""Warrior "","""")&amp;IF(REGEXMATCH($E348,""Spirit""),""Spirit "","""")&amp;IF(REGEXMATCH($E348,""Angel""),""Angel "","""")&amp;IF(REGEXMATCH($E348,""Demon""),""Demon "","""")&amp;IF(REGEXMATCH($E348,""Divine""),""Divine "","""")&amp;IF(REGEXMAT"&amp;"CH($E348,""Elemental""),""Elemental "","""")&amp;IF(REGEXMATCH($E348,""Nature""),""Nature "","""")&amp;IF(REGEXMATCH($E348,""Mortal""),""Mortal "","""")&amp;IF(REGEXMATCH($E348,""Void""),""Void "","""")&amp;IF(REGEXMATCH($E348,""Unearth|Ambush|Ritual|unearth|ambush|ritua"&amp;"l""),""Unearth "","""")&amp;IF(REGEXMATCH($E348,""Unleash|Crystallize|all realms|Crystalborn|crystallize""),""Ramp "","""")&amp;IF(REGEXMATCH($E348,""Demon""),""Demon "","""")&amp;IF(REGEXMATCH($E348,""bury|buries|Bury|Buries|Cleanse|puts a Unit|trail|Trail""),""Cont"&amp;"rol "","""")&amp;IF(REGEXMATCH($E348,""Bounce|Return|Copy|bounce|return|copy""),""Copy "","""")&amp;IF(REGEXMATCH($E348,""conquer|Conquer|leading in lanes|lead by""),""Aggro "","""")&amp;IF(REGEXMATCH($E348,""Ascend|ascend""),""Ascend "","""")&amp;IF(REGEXMATCH($E348,""B"&amp;"ury .+ Crystal|.*crystal.*bury""),""Empty-Crystal"","""")&amp;IF(REGEXMATCH($E348,""Move|move""),""Move"","""")"),"")</f>
        <v/>
      </c>
      <c r="G348" s="56"/>
      <c r="H348" s="89"/>
      <c r="I348" s="89"/>
      <c r="J348" s="89"/>
      <c r="L348" s="13" t="str">
        <f>IFERROR(__xludf.DUMMYFUNCTION("IF(REGEXMATCH($B348,L$1),$D348,"""")"),"")</f>
        <v/>
      </c>
      <c r="M348" s="13" t="str">
        <f>IFERROR(__xludf.DUMMYFUNCTION("IF(REGEXMATCH($B348,M$1),$D348,"""")"),"")</f>
        <v/>
      </c>
      <c r="N348" s="13" t="str">
        <f>IFERROR(__xludf.DUMMYFUNCTION("IF(REGEXMATCH($B348,N$1),$D348,"""")"),"")</f>
        <v/>
      </c>
      <c r="O348" s="13" t="str">
        <f>IFERROR(__xludf.DUMMYFUNCTION("IF(REGEXMATCH($B348,O$1),$D348,"""")"),"")</f>
        <v/>
      </c>
      <c r="P348" s="13" t="str">
        <f>IFERROR(__xludf.DUMMYFUNCTION("IF(REGEXMATCH($B348,P$1),$D348,"""")"),"")</f>
        <v/>
      </c>
      <c r="Q348" s="13" t="str">
        <f>IFERROR(__xludf.DUMMYFUNCTION("IF($A348="""","""",LEN(REGEXREPLACE($I348,"",\s?"","""")))"),"")</f>
        <v/>
      </c>
      <c r="S348" s="13"/>
      <c r="T348" s="13"/>
      <c r="U348" s="13"/>
      <c r="V348" s="13"/>
      <c r="W348" s="13"/>
      <c r="X348" s="13"/>
      <c r="Y348" s="13"/>
      <c r="Z348" s="13"/>
      <c r="AA348" s="13"/>
      <c r="AB348" s="13"/>
    </row>
    <row r="349" hidden="1">
      <c r="C349" s="89"/>
      <c r="D349" s="89"/>
      <c r="F349" s="10" t="str">
        <f>IFERROR(__xludf.DUMMYFUNCTION("IF(REGEXMATCH($E349,""Wizard""),""Wizard "","""")&amp;IF(REGEXMATCH($E349,""Construct""),""Construct "","""")&amp;IF(REGEXMATCH($E349,""Insect""),""Insect "","""")&amp;IF(REGEXMATCH($E349,""Dragon""),""Dragon "","""")&amp;IF(REGEXMATCH($E349,""Human""),""Human "","""")&amp;I"&amp;"F(REGEXMATCH($E349,""Hunter""),""Hunter "","""")&amp;IF(REGEXMATCH($E349,""Animal""),""Animal "","""")&amp;IF(REGEXMATCH($E349,""Undead""),""Undead "","""")&amp;IF(REGEXMATCH($E349,""Plant""),""Plant "","""")&amp;IF(REGEXMATCH($E349,""Dinosaur""),""Dinosaur "","""")&amp;IF(R"&amp;"EGEXMATCH($E349,""Warrior""),""Warrior "","""")&amp;IF(REGEXMATCH($E349,""Spirit""),""Spirit "","""")&amp;IF(REGEXMATCH($E349,""Angel""),""Angel "","""")&amp;IF(REGEXMATCH($E349,""Demon""),""Demon "","""")&amp;IF(REGEXMATCH($E349,""Divine""),""Divine "","""")&amp;IF(REGEXMAT"&amp;"CH($E349,""Elemental""),""Elemental "","""")&amp;IF(REGEXMATCH($E349,""Nature""),""Nature "","""")&amp;IF(REGEXMATCH($E349,""Mortal""),""Mortal "","""")&amp;IF(REGEXMATCH($E349,""Void""),""Void "","""")&amp;IF(REGEXMATCH($E349,""Unearth|Ambush|Ritual|unearth|ambush|ritua"&amp;"l""),""Unearth "","""")&amp;IF(REGEXMATCH($E349,""Unleash|Crystallize|all realms|Crystalborn|crystallize""),""Ramp "","""")&amp;IF(REGEXMATCH($E349,""Demon""),""Demon "","""")&amp;IF(REGEXMATCH($E349,""bury|buries|Bury|Buries|Cleanse|puts a Unit|trail|Trail""),""Cont"&amp;"rol "","""")&amp;IF(REGEXMATCH($E349,""Bounce|Return|Copy|bounce|return|copy""),""Copy "","""")&amp;IF(REGEXMATCH($E349,""conquer|Conquer|leading in lanes|lead by""),""Aggro "","""")&amp;IF(REGEXMATCH($E349,""Ascend|ascend""),""Ascend "","""")&amp;IF(REGEXMATCH($E349,""B"&amp;"ury .+ Crystal|.*crystal.*bury""),""Empty-Crystal"","""")&amp;IF(REGEXMATCH($E349,""Move|move""),""Move"","""")"),"")</f>
        <v/>
      </c>
      <c r="G349" s="56"/>
      <c r="H349" s="89"/>
      <c r="I349" s="89"/>
      <c r="J349" s="89"/>
      <c r="L349" s="13" t="str">
        <f>IFERROR(__xludf.DUMMYFUNCTION("IF(REGEXMATCH($B349,L$1),$D349,"""")"),"")</f>
        <v/>
      </c>
      <c r="M349" s="13" t="str">
        <f>IFERROR(__xludf.DUMMYFUNCTION("IF(REGEXMATCH($B349,M$1),$D349,"""")"),"")</f>
        <v/>
      </c>
      <c r="N349" s="13" t="str">
        <f>IFERROR(__xludf.DUMMYFUNCTION("IF(REGEXMATCH($B349,N$1),$D349,"""")"),"")</f>
        <v/>
      </c>
      <c r="O349" s="13" t="str">
        <f>IFERROR(__xludf.DUMMYFUNCTION("IF(REGEXMATCH($B349,O$1),$D349,"""")"),"")</f>
        <v/>
      </c>
      <c r="P349" s="13" t="str">
        <f>IFERROR(__xludf.DUMMYFUNCTION("IF(REGEXMATCH($B349,P$1),$D349,"""")"),"")</f>
        <v/>
      </c>
      <c r="Q349" s="13" t="str">
        <f>IFERROR(__xludf.DUMMYFUNCTION("IF($A349="""","""",LEN(REGEXREPLACE($I349,"",\s?"","""")))"),"")</f>
        <v/>
      </c>
      <c r="S349" s="13"/>
      <c r="T349" s="13"/>
      <c r="U349" s="13"/>
      <c r="V349" s="13"/>
      <c r="W349" s="13"/>
      <c r="X349" s="13"/>
      <c r="Y349" s="13"/>
      <c r="Z349" s="13"/>
      <c r="AA349" s="13"/>
      <c r="AB349" s="13"/>
    </row>
    <row r="350" hidden="1">
      <c r="C350" s="89"/>
      <c r="D350" s="89"/>
      <c r="F350" s="10" t="str">
        <f>IFERROR(__xludf.DUMMYFUNCTION("IF(REGEXMATCH($E350,""Wizard""),""Wizard "","""")&amp;IF(REGEXMATCH($E350,""Construct""),""Construct "","""")&amp;IF(REGEXMATCH($E350,""Insect""),""Insect "","""")&amp;IF(REGEXMATCH($E350,""Dragon""),""Dragon "","""")&amp;IF(REGEXMATCH($E350,""Human""),""Human "","""")&amp;I"&amp;"F(REGEXMATCH($E350,""Hunter""),""Hunter "","""")&amp;IF(REGEXMATCH($E350,""Animal""),""Animal "","""")&amp;IF(REGEXMATCH($E350,""Undead""),""Undead "","""")&amp;IF(REGEXMATCH($E350,""Plant""),""Plant "","""")&amp;IF(REGEXMATCH($E350,""Dinosaur""),""Dinosaur "","""")&amp;IF(R"&amp;"EGEXMATCH($E350,""Warrior""),""Warrior "","""")&amp;IF(REGEXMATCH($E350,""Spirit""),""Spirit "","""")&amp;IF(REGEXMATCH($E350,""Angel""),""Angel "","""")&amp;IF(REGEXMATCH($E350,""Demon""),""Demon "","""")&amp;IF(REGEXMATCH($E350,""Divine""),""Divine "","""")&amp;IF(REGEXMAT"&amp;"CH($E350,""Elemental""),""Elemental "","""")&amp;IF(REGEXMATCH($E350,""Nature""),""Nature "","""")&amp;IF(REGEXMATCH($E350,""Mortal""),""Mortal "","""")&amp;IF(REGEXMATCH($E350,""Void""),""Void "","""")&amp;IF(REGEXMATCH($E350,""Unearth|Ambush|Ritual|unearth|ambush|ritua"&amp;"l""),""Unearth "","""")&amp;IF(REGEXMATCH($E350,""Unleash|Crystallize|all realms|Crystalborn|crystallize""),""Ramp "","""")&amp;IF(REGEXMATCH($E350,""Demon""),""Demon "","""")&amp;IF(REGEXMATCH($E350,""bury|buries|Bury|Buries|Cleanse|puts a Unit|trail|Trail""),""Cont"&amp;"rol "","""")&amp;IF(REGEXMATCH($E350,""Bounce|Return|Copy|bounce|return|copy""),""Copy "","""")&amp;IF(REGEXMATCH($E350,""conquer|Conquer|leading in lanes|lead by""),""Aggro "","""")&amp;IF(REGEXMATCH($E350,""Ascend|ascend""),""Ascend "","""")&amp;IF(REGEXMATCH($E350,""B"&amp;"ury .+ Crystal|.*crystal.*bury""),""Empty-Crystal"","""")&amp;IF(REGEXMATCH($E350,""Move|move""),""Move"","""")"),"")</f>
        <v/>
      </c>
      <c r="G350" s="56"/>
      <c r="H350" s="89"/>
      <c r="I350" s="89"/>
      <c r="J350" s="89"/>
      <c r="L350" s="13" t="str">
        <f>IFERROR(__xludf.DUMMYFUNCTION("IF(REGEXMATCH($B350,L$1),$D350,"""")"),"")</f>
        <v/>
      </c>
      <c r="M350" s="13" t="str">
        <f>IFERROR(__xludf.DUMMYFUNCTION("IF(REGEXMATCH($B350,M$1),$D350,"""")"),"")</f>
        <v/>
      </c>
      <c r="N350" s="13" t="str">
        <f>IFERROR(__xludf.DUMMYFUNCTION("IF(REGEXMATCH($B350,N$1),$D350,"""")"),"")</f>
        <v/>
      </c>
      <c r="O350" s="13" t="str">
        <f>IFERROR(__xludf.DUMMYFUNCTION("IF(REGEXMATCH($B350,O$1),$D350,"""")"),"")</f>
        <v/>
      </c>
      <c r="P350" s="13" t="str">
        <f>IFERROR(__xludf.DUMMYFUNCTION("IF(REGEXMATCH($B350,P$1),$D350,"""")"),"")</f>
        <v/>
      </c>
      <c r="Q350" s="13" t="str">
        <f>IFERROR(__xludf.DUMMYFUNCTION("IF($A350="""","""",LEN(REGEXREPLACE($I350,"",\s?"","""")))"),"")</f>
        <v/>
      </c>
      <c r="S350" s="13"/>
      <c r="T350" s="13"/>
      <c r="U350" s="13"/>
      <c r="V350" s="13"/>
      <c r="W350" s="13"/>
      <c r="X350" s="13"/>
      <c r="Y350" s="13"/>
      <c r="Z350" s="13"/>
      <c r="AA350" s="13"/>
      <c r="AB350" s="13"/>
    </row>
    <row r="351" hidden="1">
      <c r="C351" s="89"/>
      <c r="D351" s="89"/>
      <c r="F351" s="10" t="str">
        <f>IFERROR(__xludf.DUMMYFUNCTION("IF(REGEXMATCH($E351,""Wizard""),""Wizard "","""")&amp;IF(REGEXMATCH($E351,""Construct""),""Construct "","""")&amp;IF(REGEXMATCH($E351,""Insect""),""Insect "","""")&amp;IF(REGEXMATCH($E351,""Dragon""),""Dragon "","""")&amp;IF(REGEXMATCH($E351,""Human""),""Human "","""")&amp;I"&amp;"F(REGEXMATCH($E351,""Hunter""),""Hunter "","""")&amp;IF(REGEXMATCH($E351,""Animal""),""Animal "","""")&amp;IF(REGEXMATCH($E351,""Undead""),""Undead "","""")&amp;IF(REGEXMATCH($E351,""Plant""),""Plant "","""")&amp;IF(REGEXMATCH($E351,""Dinosaur""),""Dinosaur "","""")&amp;IF(R"&amp;"EGEXMATCH($E351,""Warrior""),""Warrior "","""")&amp;IF(REGEXMATCH($E351,""Spirit""),""Spirit "","""")&amp;IF(REGEXMATCH($E351,""Angel""),""Angel "","""")&amp;IF(REGEXMATCH($E351,""Demon""),""Demon "","""")&amp;IF(REGEXMATCH($E351,""Divine""),""Divine "","""")&amp;IF(REGEXMAT"&amp;"CH($E351,""Elemental""),""Elemental "","""")&amp;IF(REGEXMATCH($E351,""Nature""),""Nature "","""")&amp;IF(REGEXMATCH($E351,""Mortal""),""Mortal "","""")&amp;IF(REGEXMATCH($E351,""Void""),""Void "","""")&amp;IF(REGEXMATCH($E351,""Unearth|Ambush|Ritual|unearth|ambush|ritua"&amp;"l""),""Unearth "","""")&amp;IF(REGEXMATCH($E351,""Unleash|Crystallize|all realms|Crystalborn|crystallize""),""Ramp "","""")&amp;IF(REGEXMATCH($E351,""Demon""),""Demon "","""")&amp;IF(REGEXMATCH($E351,""bury|buries|Bury|Buries|Cleanse|puts a Unit|trail|Trail""),""Cont"&amp;"rol "","""")&amp;IF(REGEXMATCH($E351,""Bounce|Return|Copy|bounce|return|copy""),""Copy "","""")&amp;IF(REGEXMATCH($E351,""conquer|Conquer|leading in lanes|lead by""),""Aggro "","""")&amp;IF(REGEXMATCH($E351,""Ascend|ascend""),""Ascend "","""")&amp;IF(REGEXMATCH($E351,""B"&amp;"ury .+ Crystal|.*crystal.*bury""),""Empty-Crystal"","""")&amp;IF(REGEXMATCH($E351,""Move|move""),""Move"","""")"),"")</f>
        <v/>
      </c>
      <c r="G351" s="56"/>
      <c r="H351" s="89"/>
      <c r="I351" s="89"/>
      <c r="J351" s="89"/>
      <c r="L351" s="13" t="str">
        <f>IFERROR(__xludf.DUMMYFUNCTION("IF(REGEXMATCH($B351,L$1),$D351,"""")"),"")</f>
        <v/>
      </c>
      <c r="M351" s="13" t="str">
        <f>IFERROR(__xludf.DUMMYFUNCTION("IF(REGEXMATCH($B351,M$1),$D351,"""")"),"")</f>
        <v/>
      </c>
      <c r="N351" s="13" t="str">
        <f>IFERROR(__xludf.DUMMYFUNCTION("IF(REGEXMATCH($B351,N$1),$D351,"""")"),"")</f>
        <v/>
      </c>
      <c r="O351" s="13" t="str">
        <f>IFERROR(__xludf.DUMMYFUNCTION("IF(REGEXMATCH($B351,O$1),$D351,"""")"),"")</f>
        <v/>
      </c>
      <c r="P351" s="13" t="str">
        <f>IFERROR(__xludf.DUMMYFUNCTION("IF(REGEXMATCH($B351,P$1),$D351,"""")"),"")</f>
        <v/>
      </c>
      <c r="Q351" s="13" t="str">
        <f>IFERROR(__xludf.DUMMYFUNCTION("IF($A351="""","""",LEN(REGEXREPLACE($I351,"",\s?"","""")))"),"")</f>
        <v/>
      </c>
      <c r="S351" s="13"/>
      <c r="T351" s="13"/>
      <c r="U351" s="13"/>
      <c r="V351" s="13"/>
      <c r="W351" s="13"/>
      <c r="X351" s="13"/>
      <c r="Y351" s="13"/>
      <c r="Z351" s="13"/>
      <c r="AA351" s="13"/>
      <c r="AB351" s="13"/>
    </row>
    <row r="352" hidden="1">
      <c r="C352" s="89"/>
      <c r="D352" s="89"/>
      <c r="F352" s="10" t="str">
        <f>IFERROR(__xludf.DUMMYFUNCTION("IF(REGEXMATCH($E352,""Wizard""),""Wizard "","""")&amp;IF(REGEXMATCH($E352,""Construct""),""Construct "","""")&amp;IF(REGEXMATCH($E352,""Insect""),""Insect "","""")&amp;IF(REGEXMATCH($E352,""Dragon""),""Dragon "","""")&amp;IF(REGEXMATCH($E352,""Human""),""Human "","""")&amp;I"&amp;"F(REGEXMATCH($E352,""Hunter""),""Hunter "","""")&amp;IF(REGEXMATCH($E352,""Animal""),""Animal "","""")&amp;IF(REGEXMATCH($E352,""Undead""),""Undead "","""")&amp;IF(REGEXMATCH($E352,""Plant""),""Plant "","""")&amp;IF(REGEXMATCH($E352,""Dinosaur""),""Dinosaur "","""")&amp;IF(R"&amp;"EGEXMATCH($E352,""Warrior""),""Warrior "","""")&amp;IF(REGEXMATCH($E352,""Spirit""),""Spirit "","""")&amp;IF(REGEXMATCH($E352,""Angel""),""Angel "","""")&amp;IF(REGEXMATCH($E352,""Demon""),""Demon "","""")&amp;IF(REGEXMATCH($E352,""Divine""),""Divine "","""")&amp;IF(REGEXMAT"&amp;"CH($E352,""Elemental""),""Elemental "","""")&amp;IF(REGEXMATCH($E352,""Nature""),""Nature "","""")&amp;IF(REGEXMATCH($E352,""Mortal""),""Mortal "","""")&amp;IF(REGEXMATCH($E352,""Void""),""Void "","""")&amp;IF(REGEXMATCH($E352,""Unearth|Ambush|Ritual|unearth|ambush|ritua"&amp;"l""),""Unearth "","""")&amp;IF(REGEXMATCH($E352,""Unleash|Crystallize|all realms|Crystalborn|crystallize""),""Ramp "","""")&amp;IF(REGEXMATCH($E352,""Demon""),""Demon "","""")&amp;IF(REGEXMATCH($E352,""bury|buries|Bury|Buries|Cleanse|puts a Unit|trail|Trail""),""Cont"&amp;"rol "","""")&amp;IF(REGEXMATCH($E352,""Bounce|Return|Copy|bounce|return|copy""),""Copy "","""")&amp;IF(REGEXMATCH($E352,""conquer|Conquer|leading in lanes|lead by""),""Aggro "","""")&amp;IF(REGEXMATCH($E352,""Ascend|ascend""),""Ascend "","""")&amp;IF(REGEXMATCH($E352,""B"&amp;"ury .+ Crystal|.*crystal.*bury""),""Empty-Crystal"","""")&amp;IF(REGEXMATCH($E352,""Move|move""),""Move"","""")"),"")</f>
        <v/>
      </c>
      <c r="G352" s="56"/>
      <c r="H352" s="89"/>
      <c r="I352" s="89"/>
      <c r="J352" s="89"/>
      <c r="L352" s="13" t="str">
        <f>IFERROR(__xludf.DUMMYFUNCTION("IF(REGEXMATCH($B352,L$1),$D352,"""")"),"")</f>
        <v/>
      </c>
      <c r="M352" s="13" t="str">
        <f>IFERROR(__xludf.DUMMYFUNCTION("IF(REGEXMATCH($B352,M$1),$D352,"""")"),"")</f>
        <v/>
      </c>
      <c r="N352" s="13" t="str">
        <f>IFERROR(__xludf.DUMMYFUNCTION("IF(REGEXMATCH($B352,N$1),$D352,"""")"),"")</f>
        <v/>
      </c>
      <c r="O352" s="13" t="str">
        <f>IFERROR(__xludf.DUMMYFUNCTION("IF(REGEXMATCH($B352,O$1),$D352,"""")"),"")</f>
        <v/>
      </c>
      <c r="P352" s="13" t="str">
        <f>IFERROR(__xludf.DUMMYFUNCTION("IF(REGEXMATCH($B352,P$1),$D352,"""")"),"")</f>
        <v/>
      </c>
      <c r="Q352" s="13" t="str">
        <f>IFERROR(__xludf.DUMMYFUNCTION("IF($A352="""","""",LEN(REGEXREPLACE($I352,"",\s?"","""")))"),"")</f>
        <v/>
      </c>
      <c r="S352" s="13"/>
      <c r="T352" s="13"/>
      <c r="U352" s="13"/>
      <c r="V352" s="13"/>
      <c r="W352" s="13"/>
      <c r="X352" s="13"/>
      <c r="Y352" s="13"/>
      <c r="Z352" s="13"/>
      <c r="AA352" s="13"/>
      <c r="AB352" s="13"/>
    </row>
    <row r="353" hidden="1">
      <c r="C353" s="89"/>
      <c r="D353" s="89"/>
      <c r="F353" s="10" t="str">
        <f>IFERROR(__xludf.DUMMYFUNCTION("IF(REGEXMATCH($E353,""Wizard""),""Wizard "","""")&amp;IF(REGEXMATCH($E353,""Construct""),""Construct "","""")&amp;IF(REGEXMATCH($E353,""Insect""),""Insect "","""")&amp;IF(REGEXMATCH($E353,""Dragon""),""Dragon "","""")&amp;IF(REGEXMATCH($E353,""Human""),""Human "","""")&amp;I"&amp;"F(REGEXMATCH($E353,""Hunter""),""Hunter "","""")&amp;IF(REGEXMATCH($E353,""Animal""),""Animal "","""")&amp;IF(REGEXMATCH($E353,""Undead""),""Undead "","""")&amp;IF(REGEXMATCH($E353,""Plant""),""Plant "","""")&amp;IF(REGEXMATCH($E353,""Dinosaur""),""Dinosaur "","""")&amp;IF(R"&amp;"EGEXMATCH($E353,""Warrior""),""Warrior "","""")&amp;IF(REGEXMATCH($E353,""Spirit""),""Spirit "","""")&amp;IF(REGEXMATCH($E353,""Angel""),""Angel "","""")&amp;IF(REGEXMATCH($E353,""Demon""),""Demon "","""")&amp;IF(REGEXMATCH($E353,""Divine""),""Divine "","""")&amp;IF(REGEXMAT"&amp;"CH($E353,""Elemental""),""Elemental "","""")&amp;IF(REGEXMATCH($E353,""Nature""),""Nature "","""")&amp;IF(REGEXMATCH($E353,""Mortal""),""Mortal "","""")&amp;IF(REGEXMATCH($E353,""Void""),""Void "","""")&amp;IF(REGEXMATCH($E353,""Unearth|Ambush|Ritual|unearth|ambush|ritua"&amp;"l""),""Unearth "","""")&amp;IF(REGEXMATCH($E353,""Unleash|Crystallize|all realms|Crystalborn|crystallize""),""Ramp "","""")&amp;IF(REGEXMATCH($E353,""Demon""),""Demon "","""")&amp;IF(REGEXMATCH($E353,""bury|buries|Bury|Buries|Cleanse|puts a Unit|trail|Trail""),""Cont"&amp;"rol "","""")&amp;IF(REGEXMATCH($E353,""Bounce|Return|Copy|bounce|return|copy""),""Copy "","""")&amp;IF(REGEXMATCH($E353,""conquer|Conquer|leading in lanes|lead by""),""Aggro "","""")&amp;IF(REGEXMATCH($E353,""Ascend|ascend""),""Ascend "","""")&amp;IF(REGEXMATCH($E353,""B"&amp;"ury .+ Crystal|.*crystal.*bury""),""Empty-Crystal"","""")&amp;IF(REGEXMATCH($E353,""Move|move""),""Move"","""")"),"")</f>
        <v/>
      </c>
      <c r="G353" s="56"/>
      <c r="H353" s="89"/>
      <c r="I353" s="89"/>
      <c r="J353" s="89"/>
      <c r="L353" s="13" t="str">
        <f>IFERROR(__xludf.DUMMYFUNCTION("IF(REGEXMATCH($B353,L$1),$D353,"""")"),"")</f>
        <v/>
      </c>
      <c r="M353" s="13" t="str">
        <f>IFERROR(__xludf.DUMMYFUNCTION("IF(REGEXMATCH($B353,M$1),$D353,"""")"),"")</f>
        <v/>
      </c>
      <c r="N353" s="13" t="str">
        <f>IFERROR(__xludf.DUMMYFUNCTION("IF(REGEXMATCH($B353,N$1),$D353,"""")"),"")</f>
        <v/>
      </c>
      <c r="O353" s="13" t="str">
        <f>IFERROR(__xludf.DUMMYFUNCTION("IF(REGEXMATCH($B353,O$1),$D353,"""")"),"")</f>
        <v/>
      </c>
      <c r="P353" s="13" t="str">
        <f>IFERROR(__xludf.DUMMYFUNCTION("IF(REGEXMATCH($B353,P$1),$D353,"""")"),"")</f>
        <v/>
      </c>
      <c r="Q353" s="13" t="str">
        <f>IFERROR(__xludf.DUMMYFUNCTION("IF($A353="""","""",LEN(REGEXREPLACE($I353,"",\s?"","""")))"),"")</f>
        <v/>
      </c>
      <c r="S353" s="13"/>
      <c r="T353" s="13"/>
      <c r="U353" s="13"/>
      <c r="V353" s="13"/>
      <c r="W353" s="13"/>
      <c r="X353" s="13"/>
      <c r="Y353" s="13"/>
      <c r="Z353" s="13"/>
      <c r="AA353" s="13"/>
      <c r="AB353" s="13"/>
    </row>
    <row r="354" hidden="1">
      <c r="C354" s="89"/>
      <c r="D354" s="89"/>
      <c r="F354" s="10" t="str">
        <f>IFERROR(__xludf.DUMMYFUNCTION("IF(REGEXMATCH($E354,""Wizard""),""Wizard "","""")&amp;IF(REGEXMATCH($E354,""Construct""),""Construct "","""")&amp;IF(REGEXMATCH($E354,""Insect""),""Insect "","""")&amp;IF(REGEXMATCH($E354,""Dragon""),""Dragon "","""")&amp;IF(REGEXMATCH($E354,""Human""),""Human "","""")&amp;I"&amp;"F(REGEXMATCH($E354,""Hunter""),""Hunter "","""")&amp;IF(REGEXMATCH($E354,""Animal""),""Animal "","""")&amp;IF(REGEXMATCH($E354,""Undead""),""Undead "","""")&amp;IF(REGEXMATCH($E354,""Plant""),""Plant "","""")&amp;IF(REGEXMATCH($E354,""Dinosaur""),""Dinosaur "","""")&amp;IF(R"&amp;"EGEXMATCH($E354,""Warrior""),""Warrior "","""")&amp;IF(REGEXMATCH($E354,""Spirit""),""Spirit "","""")&amp;IF(REGEXMATCH($E354,""Angel""),""Angel "","""")&amp;IF(REGEXMATCH($E354,""Demon""),""Demon "","""")&amp;IF(REGEXMATCH($E354,""Divine""),""Divine "","""")&amp;IF(REGEXMAT"&amp;"CH($E354,""Elemental""),""Elemental "","""")&amp;IF(REGEXMATCH($E354,""Nature""),""Nature "","""")&amp;IF(REGEXMATCH($E354,""Mortal""),""Mortal "","""")&amp;IF(REGEXMATCH($E354,""Void""),""Void "","""")&amp;IF(REGEXMATCH($E354,""Unearth|Ambush|Ritual|unearth|ambush|ritua"&amp;"l""),""Unearth "","""")&amp;IF(REGEXMATCH($E354,""Unleash|Crystallize|all realms|Crystalborn|crystallize""),""Ramp "","""")&amp;IF(REGEXMATCH($E354,""Demon""),""Demon "","""")&amp;IF(REGEXMATCH($E354,""bury|buries|Bury|Buries|Cleanse|puts a Unit|trail|Trail""),""Cont"&amp;"rol "","""")&amp;IF(REGEXMATCH($E354,""Bounce|Return|Copy|bounce|return|copy""),""Copy "","""")&amp;IF(REGEXMATCH($E354,""conquer|Conquer|leading in lanes|lead by""),""Aggro "","""")&amp;IF(REGEXMATCH($E354,""Ascend|ascend""),""Ascend "","""")&amp;IF(REGEXMATCH($E354,""B"&amp;"ury .+ Crystal|.*crystal.*bury""),""Empty-Crystal"","""")&amp;IF(REGEXMATCH($E354,""Move|move""),""Move"","""")"),"")</f>
        <v/>
      </c>
      <c r="G354" s="56"/>
      <c r="H354" s="89"/>
      <c r="I354" s="89"/>
      <c r="J354" s="89"/>
      <c r="L354" s="13" t="str">
        <f>IFERROR(__xludf.DUMMYFUNCTION("IF(REGEXMATCH($B354,L$1),$D354,"""")"),"")</f>
        <v/>
      </c>
      <c r="M354" s="13" t="str">
        <f>IFERROR(__xludf.DUMMYFUNCTION("IF(REGEXMATCH($B354,M$1),$D354,"""")"),"")</f>
        <v/>
      </c>
      <c r="N354" s="13" t="str">
        <f>IFERROR(__xludf.DUMMYFUNCTION("IF(REGEXMATCH($B354,N$1),$D354,"""")"),"")</f>
        <v/>
      </c>
      <c r="O354" s="13" t="str">
        <f>IFERROR(__xludf.DUMMYFUNCTION("IF(REGEXMATCH($B354,O$1),$D354,"""")"),"")</f>
        <v/>
      </c>
      <c r="P354" s="13" t="str">
        <f>IFERROR(__xludf.DUMMYFUNCTION("IF(REGEXMATCH($B354,P$1),$D354,"""")"),"")</f>
        <v/>
      </c>
      <c r="Q354" s="13" t="str">
        <f>IFERROR(__xludf.DUMMYFUNCTION("IF($A354="""","""",LEN(REGEXREPLACE($I354,"",\s?"","""")))"),"")</f>
        <v/>
      </c>
      <c r="S354" s="13"/>
      <c r="T354" s="13"/>
      <c r="U354" s="13"/>
      <c r="V354" s="13"/>
      <c r="W354" s="13"/>
      <c r="X354" s="13"/>
      <c r="Y354" s="13"/>
      <c r="Z354" s="13"/>
      <c r="AA354" s="13"/>
      <c r="AB354" s="13"/>
    </row>
    <row r="355" hidden="1">
      <c r="C355" s="89"/>
      <c r="D355" s="89"/>
      <c r="F355" s="10" t="str">
        <f>IFERROR(__xludf.DUMMYFUNCTION("IF(REGEXMATCH($E355,""Wizard""),""Wizard "","""")&amp;IF(REGEXMATCH($E355,""Construct""),""Construct "","""")&amp;IF(REGEXMATCH($E355,""Insect""),""Insect "","""")&amp;IF(REGEXMATCH($E355,""Dragon""),""Dragon "","""")&amp;IF(REGEXMATCH($E355,""Human""),""Human "","""")&amp;I"&amp;"F(REGEXMATCH($E355,""Hunter""),""Hunter "","""")&amp;IF(REGEXMATCH($E355,""Animal""),""Animal "","""")&amp;IF(REGEXMATCH($E355,""Undead""),""Undead "","""")&amp;IF(REGEXMATCH($E355,""Plant""),""Plant "","""")&amp;IF(REGEXMATCH($E355,""Dinosaur""),""Dinosaur "","""")&amp;IF(R"&amp;"EGEXMATCH($E355,""Warrior""),""Warrior "","""")&amp;IF(REGEXMATCH($E355,""Spirit""),""Spirit "","""")&amp;IF(REGEXMATCH($E355,""Angel""),""Angel "","""")&amp;IF(REGEXMATCH($E355,""Demon""),""Demon "","""")&amp;IF(REGEXMATCH($E355,""Divine""),""Divine "","""")&amp;IF(REGEXMAT"&amp;"CH($E355,""Elemental""),""Elemental "","""")&amp;IF(REGEXMATCH($E355,""Nature""),""Nature "","""")&amp;IF(REGEXMATCH($E355,""Mortal""),""Mortal "","""")&amp;IF(REGEXMATCH($E355,""Void""),""Void "","""")&amp;IF(REGEXMATCH($E355,""Unearth|Ambush|Ritual|unearth|ambush|ritua"&amp;"l""),""Unearth "","""")&amp;IF(REGEXMATCH($E355,""Unleash|Crystallize|all realms|Crystalborn|crystallize""),""Ramp "","""")&amp;IF(REGEXMATCH($E355,""Demon""),""Demon "","""")&amp;IF(REGEXMATCH($E355,""bury|buries|Bury|Buries|Cleanse|puts a Unit|trail|Trail""),""Cont"&amp;"rol "","""")&amp;IF(REGEXMATCH($E355,""Bounce|Return|Copy|bounce|return|copy""),""Copy "","""")&amp;IF(REGEXMATCH($E355,""conquer|Conquer|leading in lanes|lead by""),""Aggro "","""")&amp;IF(REGEXMATCH($E355,""Ascend|ascend""),""Ascend "","""")&amp;IF(REGEXMATCH($E355,""B"&amp;"ury .+ Crystal|.*crystal.*bury""),""Empty-Crystal"","""")&amp;IF(REGEXMATCH($E355,""Move|move""),""Move"","""")"),"")</f>
        <v/>
      </c>
      <c r="G355" s="56"/>
      <c r="H355" s="89"/>
      <c r="I355" s="89"/>
      <c r="J355" s="89"/>
      <c r="L355" s="13" t="str">
        <f>IFERROR(__xludf.DUMMYFUNCTION("IF(REGEXMATCH($B355,L$1),$D355,"""")"),"")</f>
        <v/>
      </c>
      <c r="M355" s="13" t="str">
        <f>IFERROR(__xludf.DUMMYFUNCTION("IF(REGEXMATCH($B355,M$1),$D355,"""")"),"")</f>
        <v/>
      </c>
      <c r="N355" s="13" t="str">
        <f>IFERROR(__xludf.DUMMYFUNCTION("IF(REGEXMATCH($B355,N$1),$D355,"""")"),"")</f>
        <v/>
      </c>
      <c r="O355" s="13" t="str">
        <f>IFERROR(__xludf.DUMMYFUNCTION("IF(REGEXMATCH($B355,O$1),$D355,"""")"),"")</f>
        <v/>
      </c>
      <c r="P355" s="13" t="str">
        <f>IFERROR(__xludf.DUMMYFUNCTION("IF(REGEXMATCH($B355,P$1),$D355,"""")"),"")</f>
        <v/>
      </c>
      <c r="Q355" s="13" t="str">
        <f>IFERROR(__xludf.DUMMYFUNCTION("IF($A355="""","""",LEN(REGEXREPLACE($I355,"",\s?"","""")))"),"")</f>
        <v/>
      </c>
      <c r="S355" s="13"/>
      <c r="T355" s="13"/>
      <c r="U355" s="13"/>
      <c r="V355" s="13"/>
      <c r="W355" s="13"/>
      <c r="X355" s="13"/>
      <c r="Y355" s="13"/>
      <c r="Z355" s="13"/>
      <c r="AA355" s="13"/>
      <c r="AB355" s="13"/>
    </row>
    <row r="356" hidden="1">
      <c r="C356" s="89"/>
      <c r="D356" s="89"/>
      <c r="F356" s="10" t="str">
        <f>IFERROR(__xludf.DUMMYFUNCTION("IF(REGEXMATCH($E356,""Wizard""),""Wizard "","""")&amp;IF(REGEXMATCH($E356,""Construct""),""Construct "","""")&amp;IF(REGEXMATCH($E356,""Insect""),""Insect "","""")&amp;IF(REGEXMATCH($E356,""Dragon""),""Dragon "","""")&amp;IF(REGEXMATCH($E356,""Human""),""Human "","""")&amp;I"&amp;"F(REGEXMATCH($E356,""Hunter""),""Hunter "","""")&amp;IF(REGEXMATCH($E356,""Animal""),""Animal "","""")&amp;IF(REGEXMATCH($E356,""Undead""),""Undead "","""")&amp;IF(REGEXMATCH($E356,""Plant""),""Plant "","""")&amp;IF(REGEXMATCH($E356,""Dinosaur""),""Dinosaur "","""")&amp;IF(R"&amp;"EGEXMATCH($E356,""Warrior""),""Warrior "","""")&amp;IF(REGEXMATCH($E356,""Spirit""),""Spirit "","""")&amp;IF(REGEXMATCH($E356,""Angel""),""Angel "","""")&amp;IF(REGEXMATCH($E356,""Demon""),""Demon "","""")&amp;IF(REGEXMATCH($E356,""Divine""),""Divine "","""")&amp;IF(REGEXMAT"&amp;"CH($E356,""Elemental""),""Elemental "","""")&amp;IF(REGEXMATCH($E356,""Nature""),""Nature "","""")&amp;IF(REGEXMATCH($E356,""Mortal""),""Mortal "","""")&amp;IF(REGEXMATCH($E356,""Void""),""Void "","""")&amp;IF(REGEXMATCH($E356,""Unearth|Ambush|Ritual|unearth|ambush|ritua"&amp;"l""),""Unearth "","""")&amp;IF(REGEXMATCH($E356,""Unleash|Crystallize|all realms|Crystalborn|crystallize""),""Ramp "","""")&amp;IF(REGEXMATCH($E356,""Demon""),""Demon "","""")&amp;IF(REGEXMATCH($E356,""bury|buries|Bury|Buries|Cleanse|puts a Unit|trail|Trail""),""Cont"&amp;"rol "","""")&amp;IF(REGEXMATCH($E356,""Bounce|Return|Copy|bounce|return|copy""),""Copy "","""")&amp;IF(REGEXMATCH($E356,""conquer|Conquer|leading in lanes|lead by""),""Aggro "","""")&amp;IF(REGEXMATCH($E356,""Ascend|ascend""),""Ascend "","""")&amp;IF(REGEXMATCH($E356,""B"&amp;"ury .+ Crystal|.*crystal.*bury""),""Empty-Crystal"","""")&amp;IF(REGEXMATCH($E356,""Move|move""),""Move"","""")"),"")</f>
        <v/>
      </c>
      <c r="G356" s="56"/>
      <c r="H356" s="89"/>
      <c r="I356" s="89"/>
      <c r="J356" s="89"/>
      <c r="L356" s="13" t="str">
        <f>IFERROR(__xludf.DUMMYFUNCTION("IF(REGEXMATCH($B356,L$1),$D356,"""")"),"")</f>
        <v/>
      </c>
      <c r="M356" s="13" t="str">
        <f>IFERROR(__xludf.DUMMYFUNCTION("IF(REGEXMATCH($B356,M$1),$D356,"""")"),"")</f>
        <v/>
      </c>
      <c r="N356" s="13" t="str">
        <f>IFERROR(__xludf.DUMMYFUNCTION("IF(REGEXMATCH($B356,N$1),$D356,"""")"),"")</f>
        <v/>
      </c>
      <c r="O356" s="13" t="str">
        <f>IFERROR(__xludf.DUMMYFUNCTION("IF(REGEXMATCH($B356,O$1),$D356,"""")"),"")</f>
        <v/>
      </c>
      <c r="P356" s="13" t="str">
        <f>IFERROR(__xludf.DUMMYFUNCTION("IF(REGEXMATCH($B356,P$1),$D356,"""")"),"")</f>
        <v/>
      </c>
      <c r="Q356" s="13" t="str">
        <f>IFERROR(__xludf.DUMMYFUNCTION("IF($A356="""","""",LEN(REGEXREPLACE($I356,"",\s?"","""")))"),"")</f>
        <v/>
      </c>
      <c r="S356" s="13"/>
      <c r="T356" s="13"/>
      <c r="U356" s="13"/>
      <c r="V356" s="13"/>
      <c r="W356" s="13"/>
      <c r="X356" s="13"/>
      <c r="Y356" s="13"/>
      <c r="Z356" s="13"/>
      <c r="AA356" s="13"/>
      <c r="AB356" s="13"/>
    </row>
    <row r="357" hidden="1">
      <c r="C357" s="89"/>
      <c r="D357" s="89"/>
      <c r="F357" s="10" t="str">
        <f>IFERROR(__xludf.DUMMYFUNCTION("IF(REGEXMATCH($E357,""Wizard""),""Wizard "","""")&amp;IF(REGEXMATCH($E357,""Construct""),""Construct "","""")&amp;IF(REGEXMATCH($E357,""Insect""),""Insect "","""")&amp;IF(REGEXMATCH($E357,""Dragon""),""Dragon "","""")&amp;IF(REGEXMATCH($E357,""Human""),""Human "","""")&amp;I"&amp;"F(REGEXMATCH($E357,""Hunter""),""Hunter "","""")&amp;IF(REGEXMATCH($E357,""Animal""),""Animal "","""")&amp;IF(REGEXMATCH($E357,""Undead""),""Undead "","""")&amp;IF(REGEXMATCH($E357,""Plant""),""Plant "","""")&amp;IF(REGEXMATCH($E357,""Dinosaur""),""Dinosaur "","""")&amp;IF(R"&amp;"EGEXMATCH($E357,""Warrior""),""Warrior "","""")&amp;IF(REGEXMATCH($E357,""Spirit""),""Spirit "","""")&amp;IF(REGEXMATCH($E357,""Angel""),""Angel "","""")&amp;IF(REGEXMATCH($E357,""Demon""),""Demon "","""")&amp;IF(REGEXMATCH($E357,""Divine""),""Divine "","""")&amp;IF(REGEXMAT"&amp;"CH($E357,""Elemental""),""Elemental "","""")&amp;IF(REGEXMATCH($E357,""Nature""),""Nature "","""")&amp;IF(REGEXMATCH($E357,""Mortal""),""Mortal "","""")&amp;IF(REGEXMATCH($E357,""Void""),""Void "","""")&amp;IF(REGEXMATCH($E357,""Unearth|Ambush|Ritual|unearth|ambush|ritua"&amp;"l""),""Unearth "","""")&amp;IF(REGEXMATCH($E357,""Unleash|Crystallize|all realms|Crystalborn|crystallize""),""Ramp "","""")&amp;IF(REGEXMATCH($E357,""Demon""),""Demon "","""")&amp;IF(REGEXMATCH($E357,""bury|buries|Bury|Buries|Cleanse|puts a Unit|trail|Trail""),""Cont"&amp;"rol "","""")&amp;IF(REGEXMATCH($E357,""Bounce|Return|Copy|bounce|return|copy""),""Copy "","""")&amp;IF(REGEXMATCH($E357,""conquer|Conquer|leading in lanes|lead by""),""Aggro "","""")&amp;IF(REGEXMATCH($E357,""Ascend|ascend""),""Ascend "","""")&amp;IF(REGEXMATCH($E357,""B"&amp;"ury .+ Crystal|.*crystal.*bury""),""Empty-Crystal"","""")&amp;IF(REGEXMATCH($E357,""Move|move""),""Move"","""")"),"")</f>
        <v/>
      </c>
      <c r="G357" s="56"/>
      <c r="H357" s="89"/>
      <c r="I357" s="89"/>
      <c r="J357" s="89"/>
      <c r="L357" s="13" t="str">
        <f>IFERROR(__xludf.DUMMYFUNCTION("IF(REGEXMATCH($B357,L$1),$D357,"""")"),"")</f>
        <v/>
      </c>
      <c r="M357" s="13" t="str">
        <f>IFERROR(__xludf.DUMMYFUNCTION("IF(REGEXMATCH($B357,M$1),$D357,"""")"),"")</f>
        <v/>
      </c>
      <c r="N357" s="13" t="str">
        <f>IFERROR(__xludf.DUMMYFUNCTION("IF(REGEXMATCH($B357,N$1),$D357,"""")"),"")</f>
        <v/>
      </c>
      <c r="O357" s="13" t="str">
        <f>IFERROR(__xludf.DUMMYFUNCTION("IF(REGEXMATCH($B357,O$1),$D357,"""")"),"")</f>
        <v/>
      </c>
      <c r="P357" s="13" t="str">
        <f>IFERROR(__xludf.DUMMYFUNCTION("IF(REGEXMATCH($B357,P$1),$D357,"""")"),"")</f>
        <v/>
      </c>
      <c r="Q357" s="13" t="str">
        <f>IFERROR(__xludf.DUMMYFUNCTION("IF($A357="""","""",LEN(REGEXREPLACE($I357,"",\s?"","""")))"),"")</f>
        <v/>
      </c>
      <c r="S357" s="13"/>
      <c r="T357" s="13"/>
      <c r="U357" s="13"/>
      <c r="V357" s="13"/>
      <c r="W357" s="13"/>
      <c r="X357" s="13"/>
      <c r="Y357" s="13"/>
      <c r="Z357" s="13"/>
      <c r="AA357" s="13"/>
      <c r="AB357" s="13"/>
    </row>
    <row r="358" hidden="1">
      <c r="C358" s="89"/>
      <c r="D358" s="89"/>
      <c r="F358" s="10" t="str">
        <f>IFERROR(__xludf.DUMMYFUNCTION("IF(REGEXMATCH($E358,""Wizard""),""Wizard "","""")&amp;IF(REGEXMATCH($E358,""Construct""),""Construct "","""")&amp;IF(REGEXMATCH($E358,""Insect""),""Insect "","""")&amp;IF(REGEXMATCH($E358,""Dragon""),""Dragon "","""")&amp;IF(REGEXMATCH($E358,""Human""),""Human "","""")&amp;I"&amp;"F(REGEXMATCH($E358,""Hunter""),""Hunter "","""")&amp;IF(REGEXMATCH($E358,""Animal""),""Animal "","""")&amp;IF(REGEXMATCH($E358,""Undead""),""Undead "","""")&amp;IF(REGEXMATCH($E358,""Plant""),""Plant "","""")&amp;IF(REGEXMATCH($E358,""Dinosaur""),""Dinosaur "","""")&amp;IF(R"&amp;"EGEXMATCH($E358,""Warrior""),""Warrior "","""")&amp;IF(REGEXMATCH($E358,""Spirit""),""Spirit "","""")&amp;IF(REGEXMATCH($E358,""Angel""),""Angel "","""")&amp;IF(REGEXMATCH($E358,""Demon""),""Demon "","""")&amp;IF(REGEXMATCH($E358,""Divine""),""Divine "","""")&amp;IF(REGEXMAT"&amp;"CH($E358,""Elemental""),""Elemental "","""")&amp;IF(REGEXMATCH($E358,""Nature""),""Nature "","""")&amp;IF(REGEXMATCH($E358,""Mortal""),""Mortal "","""")&amp;IF(REGEXMATCH($E358,""Void""),""Void "","""")&amp;IF(REGEXMATCH($E358,""Unearth|Ambush|Ritual|unearth|ambush|ritua"&amp;"l""),""Unearth "","""")&amp;IF(REGEXMATCH($E358,""Unleash|Crystallize|all realms|Crystalborn|crystallize""),""Ramp "","""")&amp;IF(REGEXMATCH($E358,""Demon""),""Demon "","""")&amp;IF(REGEXMATCH($E358,""bury|buries|Bury|Buries|Cleanse|puts a Unit|trail|Trail""),""Cont"&amp;"rol "","""")&amp;IF(REGEXMATCH($E358,""Bounce|Return|Copy|bounce|return|copy""),""Copy "","""")&amp;IF(REGEXMATCH($E358,""conquer|Conquer|leading in lanes|lead by""),""Aggro "","""")&amp;IF(REGEXMATCH($E358,""Ascend|ascend""),""Ascend "","""")&amp;IF(REGEXMATCH($E358,""B"&amp;"ury .+ Crystal|.*crystal.*bury""),""Empty-Crystal"","""")&amp;IF(REGEXMATCH($E358,""Move|move""),""Move"","""")"),"")</f>
        <v/>
      </c>
      <c r="G358" s="56"/>
      <c r="H358" s="89"/>
      <c r="I358" s="89"/>
      <c r="J358" s="89"/>
      <c r="L358" s="13" t="str">
        <f>IFERROR(__xludf.DUMMYFUNCTION("IF(REGEXMATCH($B358,L$1),$D358,"""")"),"")</f>
        <v/>
      </c>
      <c r="M358" s="13" t="str">
        <f>IFERROR(__xludf.DUMMYFUNCTION("IF(REGEXMATCH($B358,M$1),$D358,"""")"),"")</f>
        <v/>
      </c>
      <c r="N358" s="13" t="str">
        <f>IFERROR(__xludf.DUMMYFUNCTION("IF(REGEXMATCH($B358,N$1),$D358,"""")"),"")</f>
        <v/>
      </c>
      <c r="O358" s="13" t="str">
        <f>IFERROR(__xludf.DUMMYFUNCTION("IF(REGEXMATCH($B358,O$1),$D358,"""")"),"")</f>
        <v/>
      </c>
      <c r="P358" s="13" t="str">
        <f>IFERROR(__xludf.DUMMYFUNCTION("IF(REGEXMATCH($B358,P$1),$D358,"""")"),"")</f>
        <v/>
      </c>
      <c r="Q358" s="13" t="str">
        <f>IFERROR(__xludf.DUMMYFUNCTION("IF($A358="""","""",LEN(REGEXREPLACE($I358,"",\s?"","""")))"),"")</f>
        <v/>
      </c>
      <c r="S358" s="13"/>
      <c r="T358" s="13"/>
      <c r="U358" s="13"/>
      <c r="V358" s="13"/>
      <c r="W358" s="13"/>
      <c r="X358" s="13"/>
      <c r="Y358" s="13"/>
      <c r="Z358" s="13"/>
      <c r="AA358" s="13"/>
      <c r="AB358" s="13"/>
    </row>
    <row r="359" hidden="1">
      <c r="C359" s="89"/>
      <c r="D359" s="89"/>
      <c r="F359" s="10" t="str">
        <f>IFERROR(__xludf.DUMMYFUNCTION("IF(REGEXMATCH($E359,""Wizard""),""Wizard "","""")&amp;IF(REGEXMATCH($E359,""Construct""),""Construct "","""")&amp;IF(REGEXMATCH($E359,""Insect""),""Insect "","""")&amp;IF(REGEXMATCH($E359,""Dragon""),""Dragon "","""")&amp;IF(REGEXMATCH($E359,""Human""),""Human "","""")&amp;I"&amp;"F(REGEXMATCH($E359,""Hunter""),""Hunter "","""")&amp;IF(REGEXMATCH($E359,""Animal""),""Animal "","""")&amp;IF(REGEXMATCH($E359,""Undead""),""Undead "","""")&amp;IF(REGEXMATCH($E359,""Plant""),""Plant "","""")&amp;IF(REGEXMATCH($E359,""Dinosaur""),""Dinosaur "","""")&amp;IF(R"&amp;"EGEXMATCH($E359,""Warrior""),""Warrior "","""")&amp;IF(REGEXMATCH($E359,""Spirit""),""Spirit "","""")&amp;IF(REGEXMATCH($E359,""Angel""),""Angel "","""")&amp;IF(REGEXMATCH($E359,""Demon""),""Demon "","""")&amp;IF(REGEXMATCH($E359,""Divine""),""Divine "","""")&amp;IF(REGEXMAT"&amp;"CH($E359,""Elemental""),""Elemental "","""")&amp;IF(REGEXMATCH($E359,""Nature""),""Nature "","""")&amp;IF(REGEXMATCH($E359,""Mortal""),""Mortal "","""")&amp;IF(REGEXMATCH($E359,""Void""),""Void "","""")&amp;IF(REGEXMATCH($E359,""Unearth|Ambush|Ritual|unearth|ambush|ritua"&amp;"l""),""Unearth "","""")&amp;IF(REGEXMATCH($E359,""Unleash|Crystallize|all realms|Crystalborn|crystallize""),""Ramp "","""")&amp;IF(REGEXMATCH($E359,""Demon""),""Demon "","""")&amp;IF(REGEXMATCH($E359,""bury|buries|Bury|Buries|Cleanse|puts a Unit|trail|Trail""),""Cont"&amp;"rol "","""")&amp;IF(REGEXMATCH($E359,""Bounce|Return|Copy|bounce|return|copy""),""Copy "","""")&amp;IF(REGEXMATCH($E359,""conquer|Conquer|leading in lanes|lead by""),""Aggro "","""")&amp;IF(REGEXMATCH($E359,""Ascend|ascend""),""Ascend "","""")&amp;IF(REGEXMATCH($E359,""B"&amp;"ury .+ Crystal|.*crystal.*bury""),""Empty-Crystal"","""")&amp;IF(REGEXMATCH($E359,""Move|move""),""Move"","""")"),"")</f>
        <v/>
      </c>
      <c r="G359" s="56"/>
      <c r="H359" s="89"/>
      <c r="I359" s="89"/>
      <c r="J359" s="89"/>
      <c r="L359" s="13" t="str">
        <f>IFERROR(__xludf.DUMMYFUNCTION("IF(REGEXMATCH($B359,L$1),$D359,"""")"),"")</f>
        <v/>
      </c>
      <c r="M359" s="13" t="str">
        <f>IFERROR(__xludf.DUMMYFUNCTION("IF(REGEXMATCH($B359,M$1),$D359,"""")"),"")</f>
        <v/>
      </c>
      <c r="N359" s="13" t="str">
        <f>IFERROR(__xludf.DUMMYFUNCTION("IF(REGEXMATCH($B359,N$1),$D359,"""")"),"")</f>
        <v/>
      </c>
      <c r="O359" s="13" t="str">
        <f>IFERROR(__xludf.DUMMYFUNCTION("IF(REGEXMATCH($B359,O$1),$D359,"""")"),"")</f>
        <v/>
      </c>
      <c r="P359" s="13" t="str">
        <f>IFERROR(__xludf.DUMMYFUNCTION("IF(REGEXMATCH($B359,P$1),$D359,"""")"),"")</f>
        <v/>
      </c>
      <c r="Q359" s="13" t="str">
        <f>IFERROR(__xludf.DUMMYFUNCTION("IF($A359="""","""",LEN(REGEXREPLACE($I359,"",\s?"","""")))"),"")</f>
        <v/>
      </c>
      <c r="S359" s="13"/>
      <c r="T359" s="13"/>
      <c r="U359" s="13"/>
      <c r="V359" s="13"/>
      <c r="W359" s="13"/>
      <c r="X359" s="13"/>
      <c r="Y359" s="13"/>
      <c r="Z359" s="13"/>
      <c r="AA359" s="13"/>
      <c r="AB359" s="13"/>
    </row>
    <row r="360" hidden="1">
      <c r="C360" s="89"/>
      <c r="D360" s="89"/>
      <c r="F360" s="10" t="str">
        <f>IFERROR(__xludf.DUMMYFUNCTION("IF(REGEXMATCH($E360,""Wizard""),""Wizard "","""")&amp;IF(REGEXMATCH($E360,""Construct""),""Construct "","""")&amp;IF(REGEXMATCH($E360,""Insect""),""Insect "","""")&amp;IF(REGEXMATCH($E360,""Dragon""),""Dragon "","""")&amp;IF(REGEXMATCH($E360,""Human""),""Human "","""")&amp;I"&amp;"F(REGEXMATCH($E360,""Hunter""),""Hunter "","""")&amp;IF(REGEXMATCH($E360,""Animal""),""Animal "","""")&amp;IF(REGEXMATCH($E360,""Undead""),""Undead "","""")&amp;IF(REGEXMATCH($E360,""Plant""),""Plant "","""")&amp;IF(REGEXMATCH($E360,""Dinosaur""),""Dinosaur "","""")&amp;IF(R"&amp;"EGEXMATCH($E360,""Warrior""),""Warrior "","""")&amp;IF(REGEXMATCH($E360,""Spirit""),""Spirit "","""")&amp;IF(REGEXMATCH($E360,""Angel""),""Angel "","""")&amp;IF(REGEXMATCH($E360,""Demon""),""Demon "","""")&amp;IF(REGEXMATCH($E360,""Divine""),""Divine "","""")&amp;IF(REGEXMAT"&amp;"CH($E360,""Elemental""),""Elemental "","""")&amp;IF(REGEXMATCH($E360,""Nature""),""Nature "","""")&amp;IF(REGEXMATCH($E360,""Mortal""),""Mortal "","""")&amp;IF(REGEXMATCH($E360,""Void""),""Void "","""")&amp;IF(REGEXMATCH($E360,""Unearth|Ambush|Ritual|unearth|ambush|ritua"&amp;"l""),""Unearth "","""")&amp;IF(REGEXMATCH($E360,""Unleash|Crystallize|all realms|Crystalborn|crystallize""),""Ramp "","""")&amp;IF(REGEXMATCH($E360,""Demon""),""Demon "","""")&amp;IF(REGEXMATCH($E360,""bury|buries|Bury|Buries|Cleanse|puts a Unit|trail|Trail""),""Cont"&amp;"rol "","""")&amp;IF(REGEXMATCH($E360,""Bounce|Return|Copy|bounce|return|copy""),""Copy "","""")&amp;IF(REGEXMATCH($E360,""conquer|Conquer|leading in lanes|lead by""),""Aggro "","""")&amp;IF(REGEXMATCH($E360,""Ascend|ascend""),""Ascend "","""")&amp;IF(REGEXMATCH($E360,""B"&amp;"ury .+ Crystal|.*crystal.*bury""),""Empty-Crystal"","""")&amp;IF(REGEXMATCH($E360,""Move|move""),""Move"","""")"),"")</f>
        <v/>
      </c>
      <c r="G360" s="56"/>
      <c r="H360" s="89"/>
      <c r="I360" s="89"/>
      <c r="J360" s="89"/>
      <c r="L360" s="13" t="str">
        <f>IFERROR(__xludf.DUMMYFUNCTION("IF(REGEXMATCH($B360,L$1),$D360,"""")"),"")</f>
        <v/>
      </c>
      <c r="M360" s="13" t="str">
        <f>IFERROR(__xludf.DUMMYFUNCTION("IF(REGEXMATCH($B360,M$1),$D360,"""")"),"")</f>
        <v/>
      </c>
      <c r="N360" s="13" t="str">
        <f>IFERROR(__xludf.DUMMYFUNCTION("IF(REGEXMATCH($B360,N$1),$D360,"""")"),"")</f>
        <v/>
      </c>
      <c r="O360" s="13" t="str">
        <f>IFERROR(__xludf.DUMMYFUNCTION("IF(REGEXMATCH($B360,O$1),$D360,"""")"),"")</f>
        <v/>
      </c>
      <c r="P360" s="13" t="str">
        <f>IFERROR(__xludf.DUMMYFUNCTION("IF(REGEXMATCH($B360,P$1),$D360,"""")"),"")</f>
        <v/>
      </c>
      <c r="Q360" s="13" t="str">
        <f>IFERROR(__xludf.DUMMYFUNCTION("IF($A360="""","""",LEN(REGEXREPLACE($I360,"",\s?"","""")))"),"")</f>
        <v/>
      </c>
      <c r="S360" s="13"/>
      <c r="T360" s="13"/>
      <c r="U360" s="13"/>
      <c r="V360" s="13"/>
      <c r="W360" s="13"/>
      <c r="X360" s="13"/>
      <c r="Y360" s="13"/>
      <c r="Z360" s="13"/>
      <c r="AA360" s="13"/>
      <c r="AB360" s="13"/>
    </row>
    <row r="361" hidden="1">
      <c r="C361" s="89"/>
      <c r="D361" s="89"/>
      <c r="F361" s="10" t="str">
        <f>IFERROR(__xludf.DUMMYFUNCTION("IF(REGEXMATCH($E361,""Wizard""),""Wizard "","""")&amp;IF(REGEXMATCH($E361,""Construct""),""Construct "","""")&amp;IF(REGEXMATCH($E361,""Insect""),""Insect "","""")&amp;IF(REGEXMATCH($E361,""Dragon""),""Dragon "","""")&amp;IF(REGEXMATCH($E361,""Human""),""Human "","""")&amp;I"&amp;"F(REGEXMATCH($E361,""Hunter""),""Hunter "","""")&amp;IF(REGEXMATCH($E361,""Animal""),""Animal "","""")&amp;IF(REGEXMATCH($E361,""Undead""),""Undead "","""")&amp;IF(REGEXMATCH($E361,""Plant""),""Plant "","""")&amp;IF(REGEXMATCH($E361,""Dinosaur""),""Dinosaur "","""")&amp;IF(R"&amp;"EGEXMATCH($E361,""Warrior""),""Warrior "","""")&amp;IF(REGEXMATCH($E361,""Spirit""),""Spirit "","""")&amp;IF(REGEXMATCH($E361,""Angel""),""Angel "","""")&amp;IF(REGEXMATCH($E361,""Demon""),""Demon "","""")&amp;IF(REGEXMATCH($E361,""Divine""),""Divine "","""")&amp;IF(REGEXMAT"&amp;"CH($E361,""Elemental""),""Elemental "","""")&amp;IF(REGEXMATCH($E361,""Nature""),""Nature "","""")&amp;IF(REGEXMATCH($E361,""Mortal""),""Mortal "","""")&amp;IF(REGEXMATCH($E361,""Void""),""Void "","""")&amp;IF(REGEXMATCH($E361,""Unearth|Ambush|Ritual|unearth|ambush|ritua"&amp;"l""),""Unearth "","""")&amp;IF(REGEXMATCH($E361,""Unleash|Crystallize|all realms|Crystalborn|crystallize""),""Ramp "","""")&amp;IF(REGEXMATCH($E361,""Demon""),""Demon "","""")&amp;IF(REGEXMATCH($E361,""bury|buries|Bury|Buries|Cleanse|puts a Unit|trail|Trail""),""Cont"&amp;"rol "","""")&amp;IF(REGEXMATCH($E361,""Bounce|Return|Copy|bounce|return|copy""),""Copy "","""")&amp;IF(REGEXMATCH($E361,""conquer|Conquer|leading in lanes|lead by""),""Aggro "","""")&amp;IF(REGEXMATCH($E361,""Ascend|ascend""),""Ascend "","""")&amp;IF(REGEXMATCH($E361,""B"&amp;"ury .+ Crystal|.*crystal.*bury""),""Empty-Crystal"","""")&amp;IF(REGEXMATCH($E361,""Move|move""),""Move"","""")"),"")</f>
        <v/>
      </c>
      <c r="G361" s="56"/>
      <c r="H361" s="89"/>
      <c r="I361" s="89"/>
      <c r="J361" s="89"/>
      <c r="L361" s="13" t="str">
        <f>IFERROR(__xludf.DUMMYFUNCTION("IF(REGEXMATCH($B361,L$1),$D361,"""")"),"")</f>
        <v/>
      </c>
      <c r="M361" s="13" t="str">
        <f>IFERROR(__xludf.DUMMYFUNCTION("IF(REGEXMATCH($B361,M$1),$D361,"""")"),"")</f>
        <v/>
      </c>
      <c r="N361" s="13" t="str">
        <f>IFERROR(__xludf.DUMMYFUNCTION("IF(REGEXMATCH($B361,N$1),$D361,"""")"),"")</f>
        <v/>
      </c>
      <c r="O361" s="13" t="str">
        <f>IFERROR(__xludf.DUMMYFUNCTION("IF(REGEXMATCH($B361,O$1),$D361,"""")"),"")</f>
        <v/>
      </c>
      <c r="P361" s="13" t="str">
        <f>IFERROR(__xludf.DUMMYFUNCTION("IF(REGEXMATCH($B361,P$1),$D361,"""")"),"")</f>
        <v/>
      </c>
      <c r="Q361" s="13" t="str">
        <f>IFERROR(__xludf.DUMMYFUNCTION("IF($A361="""","""",LEN(REGEXREPLACE($I361,"",\s?"","""")))"),"")</f>
        <v/>
      </c>
      <c r="S361" s="13"/>
      <c r="T361" s="13"/>
      <c r="U361" s="13"/>
      <c r="V361" s="13"/>
      <c r="W361" s="13"/>
      <c r="X361" s="13"/>
      <c r="Y361" s="13"/>
      <c r="Z361" s="13"/>
      <c r="AA361" s="13"/>
      <c r="AB361" s="13"/>
    </row>
    <row r="362" hidden="1">
      <c r="C362" s="89"/>
      <c r="D362" s="89"/>
      <c r="F362" s="10" t="str">
        <f>IFERROR(__xludf.DUMMYFUNCTION("IF(REGEXMATCH($E362,""Wizard""),""Wizard "","""")&amp;IF(REGEXMATCH($E362,""Construct""),""Construct "","""")&amp;IF(REGEXMATCH($E362,""Insect""),""Insect "","""")&amp;IF(REGEXMATCH($E362,""Dragon""),""Dragon "","""")&amp;IF(REGEXMATCH($E362,""Human""),""Human "","""")&amp;I"&amp;"F(REGEXMATCH($E362,""Hunter""),""Hunter "","""")&amp;IF(REGEXMATCH($E362,""Animal""),""Animal "","""")&amp;IF(REGEXMATCH($E362,""Undead""),""Undead "","""")&amp;IF(REGEXMATCH($E362,""Plant""),""Plant "","""")&amp;IF(REGEXMATCH($E362,""Dinosaur""),""Dinosaur "","""")&amp;IF(R"&amp;"EGEXMATCH($E362,""Warrior""),""Warrior "","""")&amp;IF(REGEXMATCH($E362,""Spirit""),""Spirit "","""")&amp;IF(REGEXMATCH($E362,""Angel""),""Angel "","""")&amp;IF(REGEXMATCH($E362,""Demon""),""Demon "","""")&amp;IF(REGEXMATCH($E362,""Divine""),""Divine "","""")&amp;IF(REGEXMAT"&amp;"CH($E362,""Elemental""),""Elemental "","""")&amp;IF(REGEXMATCH($E362,""Nature""),""Nature "","""")&amp;IF(REGEXMATCH($E362,""Mortal""),""Mortal "","""")&amp;IF(REGEXMATCH($E362,""Void""),""Void "","""")&amp;IF(REGEXMATCH($E362,""Unearth|Ambush|Ritual|unearth|ambush|ritua"&amp;"l""),""Unearth "","""")&amp;IF(REGEXMATCH($E362,""Unleash|Crystallize|all realms|Crystalborn|crystallize""),""Ramp "","""")&amp;IF(REGEXMATCH($E362,""Demon""),""Demon "","""")&amp;IF(REGEXMATCH($E362,""bury|buries|Bury|Buries|Cleanse|puts a Unit|trail|Trail""),""Cont"&amp;"rol "","""")&amp;IF(REGEXMATCH($E362,""Bounce|Return|Copy|bounce|return|copy""),""Copy "","""")&amp;IF(REGEXMATCH($E362,""conquer|Conquer|leading in lanes|lead by""),""Aggro "","""")&amp;IF(REGEXMATCH($E362,""Ascend|ascend""),""Ascend "","""")&amp;IF(REGEXMATCH($E362,""B"&amp;"ury .+ Crystal|.*crystal.*bury""),""Empty-Crystal"","""")&amp;IF(REGEXMATCH($E362,""Move|move""),""Move"","""")"),"")</f>
        <v/>
      </c>
      <c r="G362" s="56"/>
      <c r="H362" s="89"/>
      <c r="I362" s="89"/>
      <c r="J362" s="89"/>
      <c r="L362" s="13" t="str">
        <f>IFERROR(__xludf.DUMMYFUNCTION("IF(REGEXMATCH($B362,L$1),$D362,"""")"),"")</f>
        <v/>
      </c>
      <c r="M362" s="13" t="str">
        <f>IFERROR(__xludf.DUMMYFUNCTION("IF(REGEXMATCH($B362,M$1),$D362,"""")"),"")</f>
        <v/>
      </c>
      <c r="N362" s="13" t="str">
        <f>IFERROR(__xludf.DUMMYFUNCTION("IF(REGEXMATCH($B362,N$1),$D362,"""")"),"")</f>
        <v/>
      </c>
      <c r="O362" s="13" t="str">
        <f>IFERROR(__xludf.DUMMYFUNCTION("IF(REGEXMATCH($B362,O$1),$D362,"""")"),"")</f>
        <v/>
      </c>
      <c r="P362" s="13" t="str">
        <f>IFERROR(__xludf.DUMMYFUNCTION("IF(REGEXMATCH($B362,P$1),$D362,"""")"),"")</f>
        <v/>
      </c>
      <c r="Q362" s="13" t="str">
        <f>IFERROR(__xludf.DUMMYFUNCTION("IF($A362="""","""",LEN(REGEXREPLACE($I362,"",\s?"","""")))"),"")</f>
        <v/>
      </c>
      <c r="S362" s="13"/>
      <c r="T362" s="13"/>
      <c r="U362" s="13"/>
      <c r="V362" s="13"/>
      <c r="W362" s="13"/>
      <c r="X362" s="13"/>
      <c r="Y362" s="13"/>
      <c r="Z362" s="13"/>
      <c r="AA362" s="13"/>
      <c r="AB362" s="13"/>
    </row>
    <row r="363" hidden="1">
      <c r="C363" s="89"/>
      <c r="D363" s="89"/>
      <c r="F363" s="10" t="str">
        <f>IFERROR(__xludf.DUMMYFUNCTION("IF(REGEXMATCH($E363,""Wizard""),""Wizard "","""")&amp;IF(REGEXMATCH($E363,""Construct""),""Construct "","""")&amp;IF(REGEXMATCH($E363,""Insect""),""Insect "","""")&amp;IF(REGEXMATCH($E363,""Dragon""),""Dragon "","""")&amp;IF(REGEXMATCH($E363,""Human""),""Human "","""")&amp;I"&amp;"F(REGEXMATCH($E363,""Hunter""),""Hunter "","""")&amp;IF(REGEXMATCH($E363,""Animal""),""Animal "","""")&amp;IF(REGEXMATCH($E363,""Undead""),""Undead "","""")&amp;IF(REGEXMATCH($E363,""Plant""),""Plant "","""")&amp;IF(REGEXMATCH($E363,""Dinosaur""),""Dinosaur "","""")&amp;IF(R"&amp;"EGEXMATCH($E363,""Warrior""),""Warrior "","""")&amp;IF(REGEXMATCH($E363,""Spirit""),""Spirit "","""")&amp;IF(REGEXMATCH($E363,""Angel""),""Angel "","""")&amp;IF(REGEXMATCH($E363,""Demon""),""Demon "","""")&amp;IF(REGEXMATCH($E363,""Divine""),""Divine "","""")&amp;IF(REGEXMAT"&amp;"CH($E363,""Elemental""),""Elemental "","""")&amp;IF(REGEXMATCH($E363,""Nature""),""Nature "","""")&amp;IF(REGEXMATCH($E363,""Mortal""),""Mortal "","""")&amp;IF(REGEXMATCH($E363,""Void""),""Void "","""")&amp;IF(REGEXMATCH($E363,""Unearth|Ambush|Ritual|unearth|ambush|ritua"&amp;"l""),""Unearth "","""")&amp;IF(REGEXMATCH($E363,""Unleash|Crystallize|all realms|Crystalborn|crystallize""),""Ramp "","""")&amp;IF(REGEXMATCH($E363,""Demon""),""Demon "","""")&amp;IF(REGEXMATCH($E363,""bury|buries|Bury|Buries|Cleanse|puts a Unit|trail|Trail""),""Cont"&amp;"rol "","""")&amp;IF(REGEXMATCH($E363,""Bounce|Return|Copy|bounce|return|copy""),""Copy "","""")&amp;IF(REGEXMATCH($E363,""conquer|Conquer|leading in lanes|lead by""),""Aggro "","""")&amp;IF(REGEXMATCH($E363,""Ascend|ascend""),""Ascend "","""")&amp;IF(REGEXMATCH($E363,""B"&amp;"ury .+ Crystal|.*crystal.*bury""),""Empty-Crystal"","""")&amp;IF(REGEXMATCH($E363,""Move|move""),""Move"","""")"),"")</f>
        <v/>
      </c>
      <c r="G363" s="56"/>
      <c r="H363" s="89"/>
      <c r="I363" s="89"/>
      <c r="J363" s="89"/>
      <c r="L363" s="13" t="str">
        <f>IFERROR(__xludf.DUMMYFUNCTION("IF(REGEXMATCH($B363,L$1),$D363,"""")"),"")</f>
        <v/>
      </c>
      <c r="M363" s="13" t="str">
        <f>IFERROR(__xludf.DUMMYFUNCTION("IF(REGEXMATCH($B363,M$1),$D363,"""")"),"")</f>
        <v/>
      </c>
      <c r="N363" s="13" t="str">
        <f>IFERROR(__xludf.DUMMYFUNCTION("IF(REGEXMATCH($B363,N$1),$D363,"""")"),"")</f>
        <v/>
      </c>
      <c r="O363" s="13" t="str">
        <f>IFERROR(__xludf.DUMMYFUNCTION("IF(REGEXMATCH($B363,O$1),$D363,"""")"),"")</f>
        <v/>
      </c>
      <c r="P363" s="13" t="str">
        <f>IFERROR(__xludf.DUMMYFUNCTION("IF(REGEXMATCH($B363,P$1),$D363,"""")"),"")</f>
        <v/>
      </c>
      <c r="Q363" s="13" t="str">
        <f>IFERROR(__xludf.DUMMYFUNCTION("IF($A363="""","""",LEN(REGEXREPLACE($I363,"",\s?"","""")))"),"")</f>
        <v/>
      </c>
      <c r="S363" s="13"/>
      <c r="T363" s="13"/>
      <c r="U363" s="13"/>
      <c r="V363" s="13"/>
      <c r="W363" s="13"/>
      <c r="X363" s="13"/>
      <c r="Y363" s="13"/>
      <c r="Z363" s="13"/>
      <c r="AA363" s="13"/>
      <c r="AB363" s="13"/>
    </row>
    <row r="364" hidden="1">
      <c r="C364" s="89"/>
      <c r="D364" s="89"/>
      <c r="F364" s="10" t="str">
        <f>IFERROR(__xludf.DUMMYFUNCTION("IF(REGEXMATCH($E364,""Wizard""),""Wizard "","""")&amp;IF(REGEXMATCH($E364,""Construct""),""Construct "","""")&amp;IF(REGEXMATCH($E364,""Insect""),""Insect "","""")&amp;IF(REGEXMATCH($E364,""Dragon""),""Dragon "","""")&amp;IF(REGEXMATCH($E364,""Human""),""Human "","""")&amp;I"&amp;"F(REGEXMATCH($E364,""Hunter""),""Hunter "","""")&amp;IF(REGEXMATCH($E364,""Animal""),""Animal "","""")&amp;IF(REGEXMATCH($E364,""Undead""),""Undead "","""")&amp;IF(REGEXMATCH($E364,""Plant""),""Plant "","""")&amp;IF(REGEXMATCH($E364,""Dinosaur""),""Dinosaur "","""")&amp;IF(R"&amp;"EGEXMATCH($E364,""Warrior""),""Warrior "","""")&amp;IF(REGEXMATCH($E364,""Spirit""),""Spirit "","""")&amp;IF(REGEXMATCH($E364,""Angel""),""Angel "","""")&amp;IF(REGEXMATCH($E364,""Demon""),""Demon "","""")&amp;IF(REGEXMATCH($E364,""Divine""),""Divine "","""")&amp;IF(REGEXMAT"&amp;"CH($E364,""Elemental""),""Elemental "","""")&amp;IF(REGEXMATCH($E364,""Nature""),""Nature "","""")&amp;IF(REGEXMATCH($E364,""Mortal""),""Mortal "","""")&amp;IF(REGEXMATCH($E364,""Void""),""Void "","""")&amp;IF(REGEXMATCH($E364,""Unearth|Ambush|Ritual|unearth|ambush|ritua"&amp;"l""),""Unearth "","""")&amp;IF(REGEXMATCH($E364,""Unleash|Crystallize|all realms|Crystalborn|crystallize""),""Ramp "","""")&amp;IF(REGEXMATCH($E364,""Demon""),""Demon "","""")&amp;IF(REGEXMATCH($E364,""bury|buries|Bury|Buries|Cleanse|puts a Unit|trail|Trail""),""Cont"&amp;"rol "","""")&amp;IF(REGEXMATCH($E364,""Bounce|Return|Copy|bounce|return|copy""),""Copy "","""")&amp;IF(REGEXMATCH($E364,""conquer|Conquer|leading in lanes|lead by""),""Aggro "","""")&amp;IF(REGEXMATCH($E364,""Ascend|ascend""),""Ascend "","""")&amp;IF(REGEXMATCH($E364,""B"&amp;"ury .+ Crystal|.*crystal.*bury""),""Empty-Crystal"","""")&amp;IF(REGEXMATCH($E364,""Move|move""),""Move"","""")"),"")</f>
        <v/>
      </c>
      <c r="G364" s="56"/>
      <c r="H364" s="89"/>
      <c r="I364" s="89"/>
      <c r="J364" s="89"/>
      <c r="L364" s="13" t="str">
        <f>IFERROR(__xludf.DUMMYFUNCTION("IF(REGEXMATCH($B364,L$1),$D364,"""")"),"")</f>
        <v/>
      </c>
      <c r="M364" s="13" t="str">
        <f>IFERROR(__xludf.DUMMYFUNCTION("IF(REGEXMATCH($B364,M$1),$D364,"""")"),"")</f>
        <v/>
      </c>
      <c r="N364" s="13" t="str">
        <f>IFERROR(__xludf.DUMMYFUNCTION("IF(REGEXMATCH($B364,N$1),$D364,"""")"),"")</f>
        <v/>
      </c>
      <c r="O364" s="13" t="str">
        <f>IFERROR(__xludf.DUMMYFUNCTION("IF(REGEXMATCH($B364,O$1),$D364,"""")"),"")</f>
        <v/>
      </c>
      <c r="P364" s="13" t="str">
        <f>IFERROR(__xludf.DUMMYFUNCTION("IF(REGEXMATCH($B364,P$1),$D364,"""")"),"")</f>
        <v/>
      </c>
      <c r="Q364" s="13" t="str">
        <f>IFERROR(__xludf.DUMMYFUNCTION("IF($A364="""","""",LEN(REGEXREPLACE($I364,"",\s?"","""")))"),"")</f>
        <v/>
      </c>
      <c r="S364" s="13"/>
      <c r="T364" s="13"/>
      <c r="U364" s="13"/>
      <c r="V364" s="13"/>
      <c r="W364" s="13"/>
      <c r="X364" s="13"/>
      <c r="Y364" s="13"/>
      <c r="Z364" s="13"/>
      <c r="AA364" s="13"/>
      <c r="AB364" s="13"/>
    </row>
    <row r="365" hidden="1">
      <c r="C365" s="89"/>
      <c r="D365" s="89"/>
      <c r="F365" s="10" t="str">
        <f>IFERROR(__xludf.DUMMYFUNCTION("IF(REGEXMATCH($E365,""Wizard""),""Wizard "","""")&amp;IF(REGEXMATCH($E365,""Construct""),""Construct "","""")&amp;IF(REGEXMATCH($E365,""Insect""),""Insect "","""")&amp;IF(REGEXMATCH($E365,""Dragon""),""Dragon "","""")&amp;IF(REGEXMATCH($E365,""Human""),""Human "","""")&amp;I"&amp;"F(REGEXMATCH($E365,""Hunter""),""Hunter "","""")&amp;IF(REGEXMATCH($E365,""Animal""),""Animal "","""")&amp;IF(REGEXMATCH($E365,""Undead""),""Undead "","""")&amp;IF(REGEXMATCH($E365,""Plant""),""Plant "","""")&amp;IF(REGEXMATCH($E365,""Dinosaur""),""Dinosaur "","""")&amp;IF(R"&amp;"EGEXMATCH($E365,""Warrior""),""Warrior "","""")&amp;IF(REGEXMATCH($E365,""Spirit""),""Spirit "","""")&amp;IF(REGEXMATCH($E365,""Angel""),""Angel "","""")&amp;IF(REGEXMATCH($E365,""Demon""),""Demon "","""")&amp;IF(REGEXMATCH($E365,""Divine""),""Divine "","""")&amp;IF(REGEXMAT"&amp;"CH($E365,""Elemental""),""Elemental "","""")&amp;IF(REGEXMATCH($E365,""Nature""),""Nature "","""")&amp;IF(REGEXMATCH($E365,""Mortal""),""Mortal "","""")&amp;IF(REGEXMATCH($E365,""Void""),""Void "","""")&amp;IF(REGEXMATCH($E365,""Unearth|Ambush|Ritual|unearth|ambush|ritua"&amp;"l""),""Unearth "","""")&amp;IF(REGEXMATCH($E365,""Unleash|Crystallize|all realms|Crystalborn|crystallize""),""Ramp "","""")&amp;IF(REGEXMATCH($E365,""Demon""),""Demon "","""")&amp;IF(REGEXMATCH($E365,""bury|buries|Bury|Buries|Cleanse|puts a Unit|trail|Trail""),""Cont"&amp;"rol "","""")&amp;IF(REGEXMATCH($E365,""Bounce|Return|Copy|bounce|return|copy""),""Copy "","""")&amp;IF(REGEXMATCH($E365,""conquer|Conquer|leading in lanes|lead by""),""Aggro "","""")&amp;IF(REGEXMATCH($E365,""Ascend|ascend""),""Ascend "","""")&amp;IF(REGEXMATCH($E365,""B"&amp;"ury .+ Crystal|.*crystal.*bury""),""Empty-Crystal"","""")&amp;IF(REGEXMATCH($E365,""Move|move""),""Move"","""")"),"")</f>
        <v/>
      </c>
      <c r="G365" s="56"/>
      <c r="H365" s="89"/>
      <c r="I365" s="89"/>
      <c r="J365" s="89"/>
      <c r="L365" s="13" t="str">
        <f>IFERROR(__xludf.DUMMYFUNCTION("IF(REGEXMATCH($B365,L$1),$D365,"""")"),"")</f>
        <v/>
      </c>
      <c r="M365" s="13" t="str">
        <f>IFERROR(__xludf.DUMMYFUNCTION("IF(REGEXMATCH($B365,M$1),$D365,"""")"),"")</f>
        <v/>
      </c>
      <c r="N365" s="13" t="str">
        <f>IFERROR(__xludf.DUMMYFUNCTION("IF(REGEXMATCH($B365,N$1),$D365,"""")"),"")</f>
        <v/>
      </c>
      <c r="O365" s="13" t="str">
        <f>IFERROR(__xludf.DUMMYFUNCTION("IF(REGEXMATCH($B365,O$1),$D365,"""")"),"")</f>
        <v/>
      </c>
      <c r="P365" s="13" t="str">
        <f>IFERROR(__xludf.DUMMYFUNCTION("IF(REGEXMATCH($B365,P$1),$D365,"""")"),"")</f>
        <v/>
      </c>
      <c r="Q365" s="13" t="str">
        <f>IFERROR(__xludf.DUMMYFUNCTION("IF($A365="""","""",LEN(REGEXREPLACE($I365,"",\s?"","""")))"),"")</f>
        <v/>
      </c>
      <c r="S365" s="13"/>
      <c r="T365" s="13"/>
      <c r="U365" s="13"/>
      <c r="V365" s="13"/>
      <c r="W365" s="13"/>
      <c r="X365" s="13"/>
      <c r="Y365" s="13"/>
      <c r="Z365" s="13"/>
      <c r="AA365" s="13"/>
      <c r="AB365" s="13"/>
    </row>
    <row r="366" hidden="1">
      <c r="C366" s="89"/>
      <c r="D366" s="89"/>
      <c r="F366" s="10" t="str">
        <f>IFERROR(__xludf.DUMMYFUNCTION("IF($J366=""Common"",IF(REGEXMATCH($E366,""Wizard""),""Wizard "","""")&amp;IF(REGEXMATCH($E366,""Construct""),""Construct "","""")&amp;IF(REGEXMATCH($E366,""Insect""),""Insect "","""")&amp;IF(REGEXMATCH($E366,""Dragon""),""Dragon "","""")&amp;IF(REGEXMATCH($E366,""Human"""&amp;"),""Human "","""")&amp;IF(REGEXMATCH($E366,""Hunter""),""Hunter "","""")&amp;IF(REGEXMATCH($E366,""Animal""),""Animal "","""")&amp;IF(REGEXMATCH($E366,""Undead""),""Undead "","""")&amp;IF(REGEXMATCH($E366,""Plant""),""Plant "","""")&amp;IF(REGEXMATCH($E366,""Dinosaur""),""Di"&amp;"nosaur "","""")&amp;IF(REGEXMATCH($E366,""Warrior""),""Warrior "","""")&amp;IF(REGEXMATCH($E366,""Spirit""),""Spirit "","""")&amp;IF(REGEXMATCH($E366,""Angel""),""Angel "","""")&amp;IF(REGEXMATCH($E366,""Demon""),""Demon "","""")&amp;IF(REGEXMATCH($E366,""Divine""),""Divine "&amp;""","""")&amp;IF(REGEXMATCH($E366,""Elemental""),""Elemental "","""")&amp;IF(REGEXMATCH($E366,""Nature""),""Nature "","""")&amp;IF(REGEXMATCH($E366,""Mortal""),""Mortal "","""")&amp;IF(REGEXMATCH($E366,""Void""),""Void "","""")&amp;IF(REGEXMATCH($E366,""Unearth|Ambush|Ritual|"&amp;"unearth|ambush|ritual""),""Unearth "","""")&amp;IF(REGEXMATCH($E366,""Unleash|Crystallize|all realms|Crystalborn|crystallize""),""Ramp "","""")&amp;IF(REGEXMATCH($E366,""Demon""),""Demon "","""")&amp;IF(REGEXMATCH($E366,""bury|buries|Bury|Buries|Cleanse|puts a Unit|t"&amp;"rail|Trail""),""Control "","""")&amp;IF(REGEXMATCH($E366,""Bounce|Return|Copy|bounce|return|copy""),""Copy "","""")&amp;IF(REGEXMATCH($E366,""conquer|Conquer|leading in lanes|lead by""),""Aggro "","""")&amp;IF(REGEXMATCH($E366,""Ascend|ascend""),""Ascend "","""")&amp;IF("&amp;"REGEXMATCH($E366,""Bury .+ Crystal|.*crystal.*bury""),""Empty-Crystal"","""")&amp;IF(REGEXMATCH($E366,""Move|move""),""Move"",""""),"""")"),"")</f>
        <v/>
      </c>
      <c r="G366" s="56"/>
      <c r="H366" s="89"/>
      <c r="I366" s="89"/>
      <c r="J366" s="89"/>
      <c r="L366" s="13" t="str">
        <f>IFERROR(__xludf.DUMMYFUNCTION("IF(REGEXMATCH($B366,L$1),$D366,"""")"),"")</f>
        <v/>
      </c>
      <c r="M366" s="13" t="str">
        <f>IFERROR(__xludf.DUMMYFUNCTION("IF(REGEXMATCH($B366,M$1),$D366,"""")"),"")</f>
        <v/>
      </c>
      <c r="N366" s="13" t="str">
        <f>IFERROR(__xludf.DUMMYFUNCTION("IF(REGEXMATCH($B366,N$1),$D366,"""")"),"")</f>
        <v/>
      </c>
      <c r="O366" s="13" t="str">
        <f>IFERROR(__xludf.DUMMYFUNCTION("IF(REGEXMATCH($B366,O$1),$D366,"""")"),"")</f>
        <v/>
      </c>
      <c r="P366" s="13" t="str">
        <f>IFERROR(__xludf.DUMMYFUNCTION("IF(REGEXMATCH($B366,P$1),$D366,"""")"),"")</f>
        <v/>
      </c>
      <c r="Q366" s="13" t="str">
        <f>IFERROR(__xludf.DUMMYFUNCTION("IF($A366="""","""",LEN(REGEXREPLACE($I366,"",\s?"","""")))"),"")</f>
        <v/>
      </c>
      <c r="S366" s="13"/>
      <c r="T366" s="13"/>
      <c r="U366" s="13"/>
      <c r="V366" s="13"/>
      <c r="W366" s="13"/>
      <c r="X366" s="13"/>
      <c r="Y366" s="13"/>
      <c r="Z366" s="13"/>
      <c r="AA366" s="13"/>
      <c r="AB366" s="13"/>
    </row>
    <row r="367" hidden="1">
      <c r="C367" s="89"/>
      <c r="D367" s="89"/>
      <c r="F367" s="10" t="str">
        <f>IFERROR(__xludf.DUMMYFUNCTION("IF($J367=""Common"",IF(REGEXMATCH($E367,""Wizard""),""Wizard "","""")&amp;IF(REGEXMATCH($E367,""Construct""),""Construct "","""")&amp;IF(REGEXMATCH($E367,""Insect""),""Insect "","""")&amp;IF(REGEXMATCH($E367,""Dragon""),""Dragon "","""")&amp;IF(REGEXMATCH($E367,""Human"""&amp;"),""Human "","""")&amp;IF(REGEXMATCH($E367,""Hunter""),""Hunter "","""")&amp;IF(REGEXMATCH($E367,""Animal""),""Animal "","""")&amp;IF(REGEXMATCH($E367,""Undead""),""Undead "","""")&amp;IF(REGEXMATCH($E367,""Plant""),""Plant "","""")&amp;IF(REGEXMATCH($E367,""Dinosaur""),""Di"&amp;"nosaur "","""")&amp;IF(REGEXMATCH($E367,""Warrior""),""Warrior "","""")&amp;IF(REGEXMATCH($E367,""Spirit""),""Spirit "","""")&amp;IF(REGEXMATCH($E367,""Angel""),""Angel "","""")&amp;IF(REGEXMATCH($E367,""Demon""),""Demon "","""")&amp;IF(REGEXMATCH($E367,""Divine""),""Divine "&amp;""","""")&amp;IF(REGEXMATCH($E367,""Elemental""),""Elemental "","""")&amp;IF(REGEXMATCH($E367,""Nature""),""Nature "","""")&amp;IF(REGEXMATCH($E367,""Mortal""),""Mortal "","""")&amp;IF(REGEXMATCH($E367,""Void""),""Void "","""")&amp;IF(REGEXMATCH($E367,""Unearth|Ambush|Ritual|"&amp;"unearth|ambush|ritual""),""Unearth "","""")&amp;IF(REGEXMATCH($E367,""Unleash|Crystallize|all realms|Crystalborn|crystallize""),""Ramp "","""")&amp;IF(REGEXMATCH($E367,""Demon""),""Demon "","""")&amp;IF(REGEXMATCH($E367,""bury|buries|Bury|Buries|Cleanse|puts a Unit|t"&amp;"rail|Trail""),""Control "","""")&amp;IF(REGEXMATCH($E367,""Bounce|Return|Copy|bounce|return|copy""),""Copy "","""")&amp;IF(REGEXMATCH($E367,""conquer|Conquer|leading in lanes|lead by""),""Aggro "","""")&amp;IF(REGEXMATCH($E367,""Ascend|ascend""),""Ascend "","""")&amp;IF("&amp;"REGEXMATCH($E367,""Bury .+ Crystal|.*crystal.*bury""),""Empty-Crystal"","""")&amp;IF(REGEXMATCH($E367,""Move|move""),""Move"",""""),"""")"),"")</f>
        <v/>
      </c>
      <c r="G367" s="56"/>
      <c r="H367" s="89"/>
      <c r="I367" s="89"/>
      <c r="J367" s="89"/>
      <c r="L367" s="13" t="str">
        <f>IFERROR(__xludf.DUMMYFUNCTION("IF(REGEXMATCH($B367,L$1),$D367,"""")"),"")</f>
        <v/>
      </c>
      <c r="M367" s="13" t="str">
        <f>IFERROR(__xludf.DUMMYFUNCTION("IF(REGEXMATCH($B367,M$1),$D367,"""")"),"")</f>
        <v/>
      </c>
      <c r="N367" s="13" t="str">
        <f>IFERROR(__xludf.DUMMYFUNCTION("IF(REGEXMATCH($B367,N$1),$D367,"""")"),"")</f>
        <v/>
      </c>
      <c r="O367" s="13" t="str">
        <f>IFERROR(__xludf.DUMMYFUNCTION("IF(REGEXMATCH($B367,O$1),$D367,"""")"),"")</f>
        <v/>
      </c>
      <c r="P367" s="13" t="str">
        <f>IFERROR(__xludf.DUMMYFUNCTION("IF(REGEXMATCH($B367,P$1),$D367,"""")"),"")</f>
        <v/>
      </c>
      <c r="Q367" s="13" t="str">
        <f>IFERROR(__xludf.DUMMYFUNCTION("IF($A367="""","""",LEN(REGEXREPLACE($I367,"",\s?"","""")))"),"")</f>
        <v/>
      </c>
      <c r="S367" s="13"/>
      <c r="T367" s="13"/>
      <c r="U367" s="13"/>
      <c r="V367" s="13"/>
      <c r="W367" s="13"/>
      <c r="X367" s="13"/>
      <c r="Y367" s="13"/>
      <c r="Z367" s="13"/>
      <c r="AA367" s="13"/>
      <c r="AB367" s="13"/>
    </row>
    <row r="368" hidden="1">
      <c r="C368" s="89"/>
      <c r="D368" s="89"/>
      <c r="F368" s="10" t="str">
        <f>IFERROR(__xludf.DUMMYFUNCTION("IF($J368=""Common"",IF(REGEXMATCH($E368,""Wizard""),""Wizard "","""")&amp;IF(REGEXMATCH($E368,""Construct""),""Construct "","""")&amp;IF(REGEXMATCH($E368,""Insect""),""Insect "","""")&amp;IF(REGEXMATCH($E368,""Dragon""),""Dragon "","""")&amp;IF(REGEXMATCH($E368,""Human"""&amp;"),""Human "","""")&amp;IF(REGEXMATCH($E368,""Hunter""),""Hunter "","""")&amp;IF(REGEXMATCH($E368,""Animal""),""Animal "","""")&amp;IF(REGEXMATCH($E368,""Undead""),""Undead "","""")&amp;IF(REGEXMATCH($E368,""Plant""),""Plant "","""")&amp;IF(REGEXMATCH($E368,""Dinosaur""),""Di"&amp;"nosaur "","""")&amp;IF(REGEXMATCH($E368,""Warrior""),""Warrior "","""")&amp;IF(REGEXMATCH($E368,""Spirit""),""Spirit "","""")&amp;IF(REGEXMATCH($E368,""Angel""),""Angel "","""")&amp;IF(REGEXMATCH($E368,""Demon""),""Demon "","""")&amp;IF(REGEXMATCH($E368,""Divine""),""Divine "&amp;""","""")&amp;IF(REGEXMATCH($E368,""Elemental""),""Elemental "","""")&amp;IF(REGEXMATCH($E368,""Nature""),""Nature "","""")&amp;IF(REGEXMATCH($E368,""Mortal""),""Mortal "","""")&amp;IF(REGEXMATCH($E368,""Void""),""Void "","""")&amp;IF(REGEXMATCH($E368,""Unearth|Ambush|Ritual|"&amp;"unearth|ambush|ritual""),""Unearth "","""")&amp;IF(REGEXMATCH($E368,""Unleash|Crystallize|all realms|Crystalborn|crystallize""),""Ramp "","""")&amp;IF(REGEXMATCH($E368,""Demon""),""Demon "","""")&amp;IF(REGEXMATCH($E368,""bury|buries|Bury|Buries|Cleanse|puts a Unit|t"&amp;"rail|Trail""),""Control "","""")&amp;IF(REGEXMATCH($E368,""Bounce|Return|Copy|bounce|return|copy""),""Copy "","""")&amp;IF(REGEXMATCH($E368,""conquer|Conquer|leading in lanes|lead by""),""Aggro "","""")&amp;IF(REGEXMATCH($E368,""Ascend|ascend""),""Ascend "","""")&amp;IF("&amp;"REGEXMATCH($E368,""Bury .+ Crystal|.*crystal.*bury""),""Empty-Crystal"","""")&amp;IF(REGEXMATCH($E368,""Move|move""),""Move"",""""),"""")"),"")</f>
        <v/>
      </c>
      <c r="G368" s="56"/>
      <c r="H368" s="89"/>
      <c r="I368" s="89"/>
      <c r="J368" s="89"/>
      <c r="L368" s="13" t="str">
        <f>IFERROR(__xludf.DUMMYFUNCTION("IF(REGEXMATCH($B368,L$1),$D368,"""")"),"")</f>
        <v/>
      </c>
      <c r="M368" s="13" t="str">
        <f>IFERROR(__xludf.DUMMYFUNCTION("IF(REGEXMATCH($B368,M$1),$D368,"""")"),"")</f>
        <v/>
      </c>
      <c r="N368" s="13" t="str">
        <f>IFERROR(__xludf.DUMMYFUNCTION("IF(REGEXMATCH($B368,N$1),$D368,"""")"),"")</f>
        <v/>
      </c>
      <c r="O368" s="13" t="str">
        <f>IFERROR(__xludf.DUMMYFUNCTION("IF(REGEXMATCH($B368,O$1),$D368,"""")"),"")</f>
        <v/>
      </c>
      <c r="P368" s="13" t="str">
        <f>IFERROR(__xludf.DUMMYFUNCTION("IF(REGEXMATCH($B368,P$1),$D368,"""")"),"")</f>
        <v/>
      </c>
      <c r="Q368" s="13" t="str">
        <f>IFERROR(__xludf.DUMMYFUNCTION("IF($A368="""","""",LEN(REGEXREPLACE($I368,"",\s?"","""")))"),"")</f>
        <v/>
      </c>
      <c r="S368" s="13"/>
      <c r="T368" s="13"/>
      <c r="U368" s="13"/>
      <c r="V368" s="13"/>
      <c r="W368" s="13"/>
      <c r="X368" s="13"/>
      <c r="Y368" s="13"/>
      <c r="Z368" s="13"/>
      <c r="AA368" s="13"/>
      <c r="AB368" s="13"/>
    </row>
    <row r="369" hidden="1">
      <c r="C369" s="89"/>
      <c r="D369" s="89"/>
      <c r="F369" s="10" t="str">
        <f>IFERROR(__xludf.DUMMYFUNCTION("IF($J369=""Common"",IF(REGEXMATCH($E369,""Wizard""),""Wizard "","""")&amp;IF(REGEXMATCH($E369,""Construct""),""Construct "","""")&amp;IF(REGEXMATCH($E369,""Insect""),""Insect "","""")&amp;IF(REGEXMATCH($E369,""Dragon""),""Dragon "","""")&amp;IF(REGEXMATCH($E369,""Human"""&amp;"),""Human "","""")&amp;IF(REGEXMATCH($E369,""Hunter""),""Hunter "","""")&amp;IF(REGEXMATCH($E369,""Animal""),""Animal "","""")&amp;IF(REGEXMATCH($E369,""Undead""),""Undead "","""")&amp;IF(REGEXMATCH($E369,""Plant""),""Plant "","""")&amp;IF(REGEXMATCH($E369,""Dinosaur""),""Di"&amp;"nosaur "","""")&amp;IF(REGEXMATCH($E369,""Warrior""),""Warrior "","""")&amp;IF(REGEXMATCH($E369,""Spirit""),""Spirit "","""")&amp;IF(REGEXMATCH($E369,""Angel""),""Angel "","""")&amp;IF(REGEXMATCH($E369,""Demon""),""Demon "","""")&amp;IF(REGEXMATCH($E369,""Divine""),""Divine "&amp;""","""")&amp;IF(REGEXMATCH($E369,""Elemental""),""Elemental "","""")&amp;IF(REGEXMATCH($E369,""Nature""),""Nature "","""")&amp;IF(REGEXMATCH($E369,""Mortal""),""Mortal "","""")&amp;IF(REGEXMATCH($E369,""Void""),""Void "","""")&amp;IF(REGEXMATCH($E369,""Unearth|Ambush|Ritual|"&amp;"unearth|ambush|ritual""),""Unearth "","""")&amp;IF(REGEXMATCH($E369,""Unleash|Crystallize|all realms|Crystalborn|crystallize""),""Ramp "","""")&amp;IF(REGEXMATCH($E369,""Demon""),""Demon "","""")&amp;IF(REGEXMATCH($E369,""bury|buries|Bury|Buries|Cleanse|puts a Unit|t"&amp;"rail|Trail""),""Control "","""")&amp;IF(REGEXMATCH($E369,""Bounce|Return|Copy|bounce|return|copy""),""Copy "","""")&amp;IF(REGEXMATCH($E369,""conquer|Conquer|leading in lanes|lead by""),""Aggro "","""")&amp;IF(REGEXMATCH($E369,""Ascend|ascend""),""Ascend "","""")&amp;IF("&amp;"REGEXMATCH($E369,""Bury .+ Crystal|.*crystal.*bury""),""Empty-Crystal"","""")&amp;IF(REGEXMATCH($E369,""Move|move""),""Move"",""""),"""")"),"")</f>
        <v/>
      </c>
      <c r="G369" s="56"/>
      <c r="H369" s="89"/>
      <c r="I369" s="89"/>
      <c r="J369" s="89"/>
      <c r="L369" s="13" t="str">
        <f>IFERROR(__xludf.DUMMYFUNCTION("IF(REGEXMATCH($B369,L$1),$D369,"""")"),"")</f>
        <v/>
      </c>
      <c r="M369" s="13" t="str">
        <f>IFERROR(__xludf.DUMMYFUNCTION("IF(REGEXMATCH($B369,M$1),$D369,"""")"),"")</f>
        <v/>
      </c>
      <c r="N369" s="13" t="str">
        <f>IFERROR(__xludf.DUMMYFUNCTION("IF(REGEXMATCH($B369,N$1),$D369,"""")"),"")</f>
        <v/>
      </c>
      <c r="O369" s="13" t="str">
        <f>IFERROR(__xludf.DUMMYFUNCTION("IF(REGEXMATCH($B369,O$1),$D369,"""")"),"")</f>
        <v/>
      </c>
      <c r="P369" s="13" t="str">
        <f>IFERROR(__xludf.DUMMYFUNCTION("IF(REGEXMATCH($B369,P$1),$D369,"""")"),"")</f>
        <v/>
      </c>
      <c r="Q369" s="13" t="str">
        <f>IFERROR(__xludf.DUMMYFUNCTION("IF($A369="""","""",LEN(REGEXREPLACE($I369,"",\s?"","""")))"),"")</f>
        <v/>
      </c>
      <c r="S369" s="13"/>
      <c r="T369" s="13"/>
      <c r="U369" s="13"/>
      <c r="V369" s="13"/>
      <c r="W369" s="13"/>
      <c r="X369" s="13"/>
      <c r="Y369" s="13"/>
      <c r="Z369" s="13"/>
      <c r="AA369" s="13"/>
      <c r="AB369" s="13"/>
    </row>
    <row r="370" hidden="1">
      <c r="C370" s="89"/>
      <c r="D370" s="89"/>
      <c r="F370" s="10" t="str">
        <f>IFERROR(__xludf.DUMMYFUNCTION("IF($J370=""Common"",IF(REGEXMATCH($E370,""Wizard""),""Wizard "","""")&amp;IF(REGEXMATCH($E370,""Construct""),""Construct "","""")&amp;IF(REGEXMATCH($E370,""Insect""),""Insect "","""")&amp;IF(REGEXMATCH($E370,""Dragon""),""Dragon "","""")&amp;IF(REGEXMATCH($E370,""Human"""&amp;"),""Human "","""")&amp;IF(REGEXMATCH($E370,""Hunter""),""Hunter "","""")&amp;IF(REGEXMATCH($E370,""Animal""),""Animal "","""")&amp;IF(REGEXMATCH($E370,""Undead""),""Undead "","""")&amp;IF(REGEXMATCH($E370,""Plant""),""Plant "","""")&amp;IF(REGEXMATCH($E370,""Dinosaur""),""Di"&amp;"nosaur "","""")&amp;IF(REGEXMATCH($E370,""Warrior""),""Warrior "","""")&amp;IF(REGEXMATCH($E370,""Spirit""),""Spirit "","""")&amp;IF(REGEXMATCH($E370,""Angel""),""Angel "","""")&amp;IF(REGEXMATCH($E370,""Demon""),""Demon "","""")&amp;IF(REGEXMATCH($E370,""Divine""),""Divine "&amp;""","""")&amp;IF(REGEXMATCH($E370,""Elemental""),""Elemental "","""")&amp;IF(REGEXMATCH($E370,""Nature""),""Nature "","""")&amp;IF(REGEXMATCH($E370,""Mortal""),""Mortal "","""")&amp;IF(REGEXMATCH($E370,""Void""),""Void "","""")&amp;IF(REGEXMATCH($E370,""Unearth|Ambush|Ritual|"&amp;"unearth|ambush|ritual""),""Unearth "","""")&amp;IF(REGEXMATCH($E370,""Unleash|Crystallize|all realms|Crystalborn|crystallize""),""Ramp "","""")&amp;IF(REGEXMATCH($E370,""Demon""),""Demon "","""")&amp;IF(REGEXMATCH($E370,""bury|buries|Bury|Buries|Cleanse|puts a Unit|t"&amp;"rail|Trail""),""Control "","""")&amp;IF(REGEXMATCH($E370,""Bounce|Return|Copy|bounce|return|copy""),""Copy "","""")&amp;IF(REGEXMATCH($E370,""conquer|Conquer|leading in lanes|lead by""),""Aggro "","""")&amp;IF(REGEXMATCH($E370,""Ascend|ascend""),""Ascend "","""")&amp;IF("&amp;"REGEXMATCH($E370,""Bury .+ Crystal|.*crystal.*bury""),""Empty-Crystal"","""")&amp;IF(REGEXMATCH($E370,""Move|move""),""Move"",""""),"""")"),"")</f>
        <v/>
      </c>
      <c r="G370" s="56"/>
      <c r="H370" s="89"/>
      <c r="I370" s="89"/>
      <c r="J370" s="89"/>
      <c r="L370" s="13" t="str">
        <f>IFERROR(__xludf.DUMMYFUNCTION("IF(REGEXMATCH($B370,L$1),$D370,"""")"),"")</f>
        <v/>
      </c>
      <c r="M370" s="13" t="str">
        <f>IFERROR(__xludf.DUMMYFUNCTION("IF(REGEXMATCH($B370,M$1),$D370,"""")"),"")</f>
        <v/>
      </c>
      <c r="N370" s="13" t="str">
        <f>IFERROR(__xludf.DUMMYFUNCTION("IF(REGEXMATCH($B370,N$1),$D370,"""")"),"")</f>
        <v/>
      </c>
      <c r="O370" s="13" t="str">
        <f>IFERROR(__xludf.DUMMYFUNCTION("IF(REGEXMATCH($B370,O$1),$D370,"""")"),"")</f>
        <v/>
      </c>
      <c r="P370" s="13" t="str">
        <f>IFERROR(__xludf.DUMMYFUNCTION("IF(REGEXMATCH($B370,P$1),$D370,"""")"),"")</f>
        <v/>
      </c>
      <c r="Q370" s="13" t="str">
        <f>IFERROR(__xludf.DUMMYFUNCTION("IF($A370="""","""",LEN(REGEXREPLACE($I370,"",\s?"","""")))"),"")</f>
        <v/>
      </c>
      <c r="S370" s="13"/>
      <c r="T370" s="13"/>
      <c r="U370" s="13"/>
      <c r="V370" s="13"/>
      <c r="W370" s="13"/>
      <c r="X370" s="13"/>
      <c r="Y370" s="13"/>
      <c r="Z370" s="13"/>
      <c r="AA370" s="13"/>
      <c r="AB370" s="13"/>
    </row>
    <row r="371" hidden="1">
      <c r="C371" s="89"/>
      <c r="D371" s="89"/>
      <c r="G371" s="56"/>
      <c r="H371" s="89"/>
      <c r="I371" s="89"/>
      <c r="J371" s="89"/>
      <c r="L371" s="13" t="str">
        <f>IFERROR(__xludf.DUMMYFUNCTION("IF(REGEXMATCH($B371,L$1),$D371,"""")"),"")</f>
        <v/>
      </c>
      <c r="M371" s="13" t="str">
        <f>IFERROR(__xludf.DUMMYFUNCTION("IF(REGEXMATCH($B371,M$1),$D371,"""")"),"")</f>
        <v/>
      </c>
      <c r="N371" s="13" t="str">
        <f>IFERROR(__xludf.DUMMYFUNCTION("IF(REGEXMATCH($B371,N$1),$D371,"""")"),"")</f>
        <v/>
      </c>
      <c r="O371" s="13" t="str">
        <f>IFERROR(__xludf.DUMMYFUNCTION("IF(REGEXMATCH($B371,O$1),$D371,"""")"),"")</f>
        <v/>
      </c>
      <c r="P371" s="13" t="str">
        <f>IFERROR(__xludf.DUMMYFUNCTION("IF(REGEXMATCH($B371,P$1),$D371,"""")"),"")</f>
        <v/>
      </c>
      <c r="Q371" s="13" t="str">
        <f>IFERROR(__xludf.DUMMYFUNCTION("IF($A371="""","""",LEN(REGEXREPLACE($I371,"",\s?"","""")))"),"")</f>
        <v/>
      </c>
      <c r="S371" s="13"/>
      <c r="T371" s="13"/>
      <c r="U371" s="13"/>
      <c r="V371" s="13"/>
      <c r="W371" s="13"/>
      <c r="X371" s="13"/>
      <c r="Y371" s="13"/>
      <c r="Z371" s="13"/>
      <c r="AA371" s="13"/>
      <c r="AB371" s="13"/>
    </row>
    <row r="372" hidden="1">
      <c r="C372" s="89"/>
      <c r="D372" s="89"/>
      <c r="G372" s="56"/>
      <c r="H372" s="89"/>
      <c r="I372" s="89"/>
      <c r="J372" s="89"/>
      <c r="L372" s="13" t="str">
        <f>IFERROR(__xludf.DUMMYFUNCTION("IF(REGEXMATCH($B372,L$1),$D372,"""")"),"")</f>
        <v/>
      </c>
      <c r="M372" s="13" t="str">
        <f>IFERROR(__xludf.DUMMYFUNCTION("IF(REGEXMATCH($B372,M$1),$D372,"""")"),"")</f>
        <v/>
      </c>
      <c r="N372" s="13" t="str">
        <f>IFERROR(__xludf.DUMMYFUNCTION("IF(REGEXMATCH($B372,N$1),$D372,"""")"),"")</f>
        <v/>
      </c>
      <c r="O372" s="13" t="str">
        <f>IFERROR(__xludf.DUMMYFUNCTION("IF(REGEXMATCH($B372,O$1),$D372,"""")"),"")</f>
        <v/>
      </c>
      <c r="P372" s="13" t="str">
        <f>IFERROR(__xludf.DUMMYFUNCTION("IF(REGEXMATCH($B372,P$1),$D372,"""")"),"")</f>
        <v/>
      </c>
      <c r="Q372" s="13" t="str">
        <f>IFERROR(__xludf.DUMMYFUNCTION("IF($A372="""","""",LEN(REGEXREPLACE($I372,"",\s?"","""")))"),"")</f>
        <v/>
      </c>
      <c r="S372" s="13"/>
      <c r="T372" s="13"/>
      <c r="U372" s="13"/>
      <c r="V372" s="13"/>
      <c r="W372" s="13"/>
      <c r="X372" s="13"/>
      <c r="Y372" s="13"/>
      <c r="Z372" s="13"/>
      <c r="AA372" s="13"/>
      <c r="AB372" s="13"/>
    </row>
    <row r="373" hidden="1">
      <c r="C373" s="89"/>
      <c r="D373" s="89"/>
      <c r="G373" s="56"/>
      <c r="H373" s="89"/>
      <c r="I373" s="89"/>
      <c r="J373" s="89"/>
      <c r="L373" s="13" t="str">
        <f>IFERROR(__xludf.DUMMYFUNCTION("IF(REGEXMATCH($B373,L$1),$D373,"""")"),"")</f>
        <v/>
      </c>
      <c r="M373" s="13" t="str">
        <f>IFERROR(__xludf.DUMMYFUNCTION("IF(REGEXMATCH($B373,M$1),$D373,"""")"),"")</f>
        <v/>
      </c>
      <c r="N373" s="13" t="str">
        <f>IFERROR(__xludf.DUMMYFUNCTION("IF(REGEXMATCH($B373,N$1),$D373,"""")"),"")</f>
        <v/>
      </c>
      <c r="O373" s="13" t="str">
        <f>IFERROR(__xludf.DUMMYFUNCTION("IF(REGEXMATCH($B373,O$1),$D373,"""")"),"")</f>
        <v/>
      </c>
      <c r="P373" s="13" t="str">
        <f>IFERROR(__xludf.DUMMYFUNCTION("IF(REGEXMATCH($B373,P$1),$D373,"""")"),"")</f>
        <v/>
      </c>
      <c r="Q373" s="13" t="str">
        <f>IFERROR(__xludf.DUMMYFUNCTION("IF($A373="""","""",LEN(REGEXREPLACE($I373,"",\s?"","""")))"),"")</f>
        <v/>
      </c>
      <c r="S373" s="13"/>
      <c r="T373" s="13"/>
      <c r="U373" s="13"/>
      <c r="V373" s="13"/>
      <c r="W373" s="13"/>
      <c r="X373" s="13"/>
      <c r="Y373" s="13"/>
      <c r="Z373" s="13"/>
      <c r="AA373" s="13"/>
      <c r="AB373" s="13"/>
    </row>
    <row r="374" hidden="1">
      <c r="C374" s="89"/>
      <c r="D374" s="89"/>
      <c r="G374" s="56"/>
      <c r="H374" s="89"/>
      <c r="I374" s="89"/>
      <c r="J374" s="89"/>
      <c r="L374" s="13" t="str">
        <f>IFERROR(__xludf.DUMMYFUNCTION("IF(REGEXMATCH($B374,L$1),$D374,"""")"),"")</f>
        <v/>
      </c>
      <c r="M374" s="13" t="str">
        <f>IFERROR(__xludf.DUMMYFUNCTION("IF(REGEXMATCH($B374,M$1),$D374,"""")"),"")</f>
        <v/>
      </c>
      <c r="N374" s="13" t="str">
        <f>IFERROR(__xludf.DUMMYFUNCTION("IF(REGEXMATCH($B374,N$1),$D374,"""")"),"")</f>
        <v/>
      </c>
      <c r="O374" s="13" t="str">
        <f>IFERROR(__xludf.DUMMYFUNCTION("IF(REGEXMATCH($B374,O$1),$D374,"""")"),"")</f>
        <v/>
      </c>
      <c r="P374" s="13" t="str">
        <f>IFERROR(__xludf.DUMMYFUNCTION("IF(REGEXMATCH($B374,P$1),$D374,"""")"),"")</f>
        <v/>
      </c>
      <c r="Q374" s="13" t="str">
        <f>IFERROR(__xludf.DUMMYFUNCTION("IF($A374="""","""",LEN(REGEXREPLACE($I374,"",\s?"","""")))"),"")</f>
        <v/>
      </c>
      <c r="S374" s="13"/>
      <c r="T374" s="13"/>
      <c r="U374" s="13"/>
      <c r="V374" s="13"/>
      <c r="W374" s="13"/>
      <c r="X374" s="13"/>
      <c r="Y374" s="13"/>
      <c r="Z374" s="13"/>
      <c r="AA374" s="13"/>
      <c r="AB374" s="13"/>
    </row>
    <row r="375" hidden="1">
      <c r="C375" s="89"/>
      <c r="D375" s="89"/>
      <c r="G375" s="56"/>
      <c r="H375" s="89"/>
      <c r="I375" s="89"/>
      <c r="J375" s="89"/>
      <c r="L375" s="13" t="str">
        <f>IFERROR(__xludf.DUMMYFUNCTION("IF(REGEXMATCH($B375,L$1),$D375,"""")"),"")</f>
        <v/>
      </c>
      <c r="M375" s="13" t="str">
        <f>IFERROR(__xludf.DUMMYFUNCTION("IF(REGEXMATCH($B375,M$1),$D375,"""")"),"")</f>
        <v/>
      </c>
      <c r="N375" s="13" t="str">
        <f>IFERROR(__xludf.DUMMYFUNCTION("IF(REGEXMATCH($B375,N$1),$D375,"""")"),"")</f>
        <v/>
      </c>
      <c r="O375" s="13" t="str">
        <f>IFERROR(__xludf.DUMMYFUNCTION("IF(REGEXMATCH($B375,O$1),$D375,"""")"),"")</f>
        <v/>
      </c>
      <c r="P375" s="13" t="str">
        <f>IFERROR(__xludf.DUMMYFUNCTION("IF(REGEXMATCH($B375,P$1),$D375,"""")"),"")</f>
        <v/>
      </c>
      <c r="Q375" s="13" t="str">
        <f>IFERROR(__xludf.DUMMYFUNCTION("IF($A375="""","""",LEN(REGEXREPLACE($I375,"",\s?"","""")))"),"")</f>
        <v/>
      </c>
      <c r="S375" s="13"/>
      <c r="T375" s="13"/>
      <c r="U375" s="13"/>
      <c r="V375" s="13"/>
      <c r="W375" s="13"/>
      <c r="X375" s="13"/>
      <c r="Y375" s="13"/>
      <c r="Z375" s="13"/>
      <c r="AA375" s="13"/>
      <c r="AB375" s="13"/>
    </row>
    <row r="376" hidden="1">
      <c r="C376" s="89"/>
      <c r="D376" s="89"/>
      <c r="G376" s="56"/>
      <c r="H376" s="89"/>
      <c r="I376" s="89"/>
      <c r="J376" s="89"/>
      <c r="L376" s="13" t="str">
        <f>IFERROR(__xludf.DUMMYFUNCTION("IF(REGEXMATCH($B376,L$1),$D376,"""")"),"")</f>
        <v/>
      </c>
      <c r="M376" s="13" t="str">
        <f>IFERROR(__xludf.DUMMYFUNCTION("IF(REGEXMATCH($B376,M$1),$D376,"""")"),"")</f>
        <v/>
      </c>
      <c r="N376" s="13" t="str">
        <f>IFERROR(__xludf.DUMMYFUNCTION("IF(REGEXMATCH($B376,N$1),$D376,"""")"),"")</f>
        <v/>
      </c>
      <c r="O376" s="13" t="str">
        <f>IFERROR(__xludf.DUMMYFUNCTION("IF(REGEXMATCH($B376,O$1),$D376,"""")"),"")</f>
        <v/>
      </c>
      <c r="P376" s="13" t="str">
        <f>IFERROR(__xludf.DUMMYFUNCTION("IF(REGEXMATCH($B376,P$1),$D376,"""")"),"")</f>
        <v/>
      </c>
      <c r="Q376" s="13" t="str">
        <f>IFERROR(__xludf.DUMMYFUNCTION("IF($A376="""","""",LEN(REGEXREPLACE($I376,"",\s?"","""")))"),"")</f>
        <v/>
      </c>
      <c r="S376" s="13"/>
      <c r="T376" s="13"/>
      <c r="U376" s="13"/>
      <c r="V376" s="13"/>
      <c r="W376" s="13"/>
      <c r="X376" s="13"/>
      <c r="Y376" s="13"/>
      <c r="Z376" s="13"/>
      <c r="AA376" s="13"/>
      <c r="AB376" s="13"/>
    </row>
    <row r="377" hidden="1">
      <c r="C377" s="89"/>
      <c r="D377" s="89"/>
      <c r="G377" s="56"/>
      <c r="H377" s="89"/>
      <c r="I377" s="89"/>
      <c r="J377" s="89"/>
      <c r="L377" s="13" t="str">
        <f>IFERROR(__xludf.DUMMYFUNCTION("IF(REGEXMATCH($B377,L$1),$D377,"""")"),"")</f>
        <v/>
      </c>
      <c r="M377" s="13" t="str">
        <f>IFERROR(__xludf.DUMMYFUNCTION("IF(REGEXMATCH($B377,M$1),$D377,"""")"),"")</f>
        <v/>
      </c>
      <c r="N377" s="13" t="str">
        <f>IFERROR(__xludf.DUMMYFUNCTION("IF(REGEXMATCH($B377,N$1),$D377,"""")"),"")</f>
        <v/>
      </c>
      <c r="O377" s="13" t="str">
        <f>IFERROR(__xludf.DUMMYFUNCTION("IF(REGEXMATCH($B377,O$1),$D377,"""")"),"")</f>
        <v/>
      </c>
      <c r="P377" s="13" t="str">
        <f>IFERROR(__xludf.DUMMYFUNCTION("IF(REGEXMATCH($B377,P$1),$D377,"""")"),"")</f>
        <v/>
      </c>
      <c r="Q377" s="13" t="str">
        <f>IFERROR(__xludf.DUMMYFUNCTION("IF($A377="""","""",LEN(REGEXREPLACE($I377,"",\s?"","""")))"),"")</f>
        <v/>
      </c>
      <c r="S377" s="13"/>
      <c r="T377" s="13"/>
      <c r="U377" s="13"/>
      <c r="V377" s="13"/>
      <c r="W377" s="13"/>
      <c r="X377" s="13"/>
      <c r="Y377" s="13"/>
      <c r="Z377" s="13"/>
      <c r="AA377" s="13"/>
      <c r="AB377" s="13"/>
    </row>
    <row r="378" hidden="1">
      <c r="C378" s="89"/>
      <c r="D378" s="89"/>
      <c r="G378" s="56"/>
      <c r="H378" s="89"/>
      <c r="I378" s="89"/>
      <c r="J378" s="89"/>
      <c r="L378" s="13" t="str">
        <f>IFERROR(__xludf.DUMMYFUNCTION("IF(REGEXMATCH($B378,L$1),$D378,"""")"),"")</f>
        <v/>
      </c>
      <c r="M378" s="13" t="str">
        <f>IFERROR(__xludf.DUMMYFUNCTION("IF(REGEXMATCH($B378,M$1),$D378,"""")"),"")</f>
        <v/>
      </c>
      <c r="N378" s="13" t="str">
        <f>IFERROR(__xludf.DUMMYFUNCTION("IF(REGEXMATCH($B378,N$1),$D378,"""")"),"")</f>
        <v/>
      </c>
      <c r="O378" s="13" t="str">
        <f>IFERROR(__xludf.DUMMYFUNCTION("IF(REGEXMATCH($B378,O$1),$D378,"""")"),"")</f>
        <v/>
      </c>
      <c r="P378" s="13" t="str">
        <f>IFERROR(__xludf.DUMMYFUNCTION("IF(REGEXMATCH($B378,P$1),$D378,"""")"),"")</f>
        <v/>
      </c>
      <c r="Q378" s="13" t="str">
        <f>IFERROR(__xludf.DUMMYFUNCTION("IF($A378="""","""",LEN(REGEXREPLACE($I378,"",\s?"","""")))"),"")</f>
        <v/>
      </c>
      <c r="S378" s="13"/>
      <c r="T378" s="13"/>
      <c r="U378" s="13"/>
      <c r="V378" s="13"/>
      <c r="W378" s="13"/>
      <c r="X378" s="13"/>
      <c r="Y378" s="13"/>
      <c r="Z378" s="13"/>
      <c r="AA378" s="13"/>
      <c r="AB378" s="13"/>
    </row>
    <row r="379" hidden="1">
      <c r="C379" s="89"/>
      <c r="D379" s="89"/>
      <c r="G379" s="56"/>
      <c r="H379" s="89"/>
      <c r="I379" s="89"/>
      <c r="J379" s="89"/>
      <c r="L379" s="13" t="str">
        <f>IFERROR(__xludf.DUMMYFUNCTION("IF(REGEXMATCH($B379,L$1),$D379,"""")"),"")</f>
        <v/>
      </c>
      <c r="M379" s="13" t="str">
        <f>IFERROR(__xludf.DUMMYFUNCTION("IF(REGEXMATCH($B379,M$1),$D379,"""")"),"")</f>
        <v/>
      </c>
      <c r="N379" s="13" t="str">
        <f>IFERROR(__xludf.DUMMYFUNCTION("IF(REGEXMATCH($B379,N$1),$D379,"""")"),"")</f>
        <v/>
      </c>
      <c r="O379" s="13" t="str">
        <f>IFERROR(__xludf.DUMMYFUNCTION("IF(REGEXMATCH($B379,O$1),$D379,"""")"),"")</f>
        <v/>
      </c>
      <c r="P379" s="13" t="str">
        <f>IFERROR(__xludf.DUMMYFUNCTION("IF(REGEXMATCH($B379,P$1),$D379,"""")"),"")</f>
        <v/>
      </c>
      <c r="Q379" s="13" t="str">
        <f>IFERROR(__xludf.DUMMYFUNCTION("IF($A379="""","""",LEN(REGEXREPLACE($I379,"",\s?"","""")))"),"")</f>
        <v/>
      </c>
      <c r="S379" s="13"/>
      <c r="T379" s="13"/>
      <c r="U379" s="13"/>
      <c r="V379" s="13"/>
      <c r="W379" s="13"/>
      <c r="X379" s="13"/>
      <c r="Y379" s="13"/>
      <c r="Z379" s="13"/>
      <c r="AA379" s="13"/>
      <c r="AB379" s="13"/>
    </row>
    <row r="380" hidden="1">
      <c r="C380" s="89"/>
      <c r="D380" s="89"/>
      <c r="G380" s="56"/>
      <c r="H380" s="89"/>
      <c r="I380" s="89"/>
      <c r="J380" s="89"/>
      <c r="L380" s="13" t="str">
        <f>IFERROR(__xludf.DUMMYFUNCTION("IF(REGEXMATCH($B380,L$1),$D380,"""")"),"")</f>
        <v/>
      </c>
      <c r="M380" s="13" t="str">
        <f>IFERROR(__xludf.DUMMYFUNCTION("IF(REGEXMATCH($B380,M$1),$D380,"""")"),"")</f>
        <v/>
      </c>
      <c r="N380" s="13" t="str">
        <f>IFERROR(__xludf.DUMMYFUNCTION("IF(REGEXMATCH($B380,N$1),$D380,"""")"),"")</f>
        <v/>
      </c>
      <c r="O380" s="13" t="str">
        <f>IFERROR(__xludf.DUMMYFUNCTION("IF(REGEXMATCH($B380,O$1),$D380,"""")"),"")</f>
        <v/>
      </c>
      <c r="P380" s="13" t="str">
        <f>IFERROR(__xludf.DUMMYFUNCTION("IF(REGEXMATCH($B380,P$1),$D380,"""")"),"")</f>
        <v/>
      </c>
      <c r="Q380" s="13" t="str">
        <f>IFERROR(__xludf.DUMMYFUNCTION("IF($A380="""","""",LEN(REGEXREPLACE($I380,"",\s?"","""")))"),"")</f>
        <v/>
      </c>
      <c r="S380" s="13"/>
      <c r="T380" s="13"/>
      <c r="U380" s="13"/>
      <c r="V380" s="13"/>
      <c r="W380" s="13"/>
      <c r="X380" s="13"/>
      <c r="Y380" s="13"/>
      <c r="Z380" s="13"/>
      <c r="AA380" s="13"/>
      <c r="AB380" s="13"/>
    </row>
    <row r="381" hidden="1">
      <c r="C381" s="89"/>
      <c r="D381" s="89"/>
      <c r="G381" s="56"/>
      <c r="H381" s="89"/>
      <c r="I381" s="89"/>
      <c r="J381" s="89"/>
      <c r="L381" s="13" t="str">
        <f>IFERROR(__xludf.DUMMYFUNCTION("IF(REGEXMATCH($B381,L$1),$D381,"""")"),"")</f>
        <v/>
      </c>
      <c r="M381" s="13" t="str">
        <f>IFERROR(__xludf.DUMMYFUNCTION("IF(REGEXMATCH($B381,M$1),$D381,"""")"),"")</f>
        <v/>
      </c>
      <c r="N381" s="13" t="str">
        <f>IFERROR(__xludf.DUMMYFUNCTION("IF(REGEXMATCH($B381,N$1),$D381,"""")"),"")</f>
        <v/>
      </c>
      <c r="O381" s="13" t="str">
        <f>IFERROR(__xludf.DUMMYFUNCTION("IF(REGEXMATCH($B381,O$1),$D381,"""")"),"")</f>
        <v/>
      </c>
      <c r="P381" s="13" t="str">
        <f>IFERROR(__xludf.DUMMYFUNCTION("IF(REGEXMATCH($B381,P$1),$D381,"""")"),"")</f>
        <v/>
      </c>
      <c r="Q381" s="13" t="str">
        <f>IFERROR(__xludf.DUMMYFUNCTION("IF($A381="""","""",LEN(REGEXREPLACE($I381,"",\s?"","""")))"),"")</f>
        <v/>
      </c>
      <c r="S381" s="13"/>
      <c r="T381" s="13"/>
      <c r="U381" s="13"/>
      <c r="V381" s="13"/>
      <c r="W381" s="13"/>
      <c r="X381" s="13"/>
      <c r="Y381" s="13"/>
      <c r="Z381" s="13"/>
      <c r="AA381" s="13"/>
      <c r="AB381" s="13"/>
    </row>
    <row r="382" hidden="1">
      <c r="C382" s="89"/>
      <c r="D382" s="89"/>
      <c r="G382" s="56"/>
      <c r="H382" s="89"/>
      <c r="I382" s="89"/>
      <c r="J382" s="89"/>
      <c r="L382" s="13" t="str">
        <f>IFERROR(__xludf.DUMMYFUNCTION("IF(REGEXMATCH($B382,L$1),$D382,"""")"),"")</f>
        <v/>
      </c>
      <c r="M382" s="13" t="str">
        <f>IFERROR(__xludf.DUMMYFUNCTION("IF(REGEXMATCH($B382,M$1),$D382,"""")"),"")</f>
        <v/>
      </c>
      <c r="N382" s="13" t="str">
        <f>IFERROR(__xludf.DUMMYFUNCTION("IF(REGEXMATCH($B382,N$1),$D382,"""")"),"")</f>
        <v/>
      </c>
      <c r="O382" s="13" t="str">
        <f>IFERROR(__xludf.DUMMYFUNCTION("IF(REGEXMATCH($B382,O$1),$D382,"""")"),"")</f>
        <v/>
      </c>
      <c r="P382" s="13" t="str">
        <f>IFERROR(__xludf.DUMMYFUNCTION("IF(REGEXMATCH($B382,P$1),$D382,"""")"),"")</f>
        <v/>
      </c>
      <c r="Q382" s="13" t="str">
        <f>IFERROR(__xludf.DUMMYFUNCTION("IF($A382="""","""",LEN(REGEXREPLACE($I382,"",\s?"","""")))"),"")</f>
        <v/>
      </c>
      <c r="S382" s="13"/>
      <c r="T382" s="13"/>
      <c r="U382" s="13"/>
      <c r="V382" s="13"/>
      <c r="W382" s="13"/>
      <c r="X382" s="13"/>
      <c r="Y382" s="13"/>
      <c r="Z382" s="13"/>
      <c r="AA382" s="13"/>
      <c r="AB382" s="13"/>
    </row>
    <row r="383" hidden="1">
      <c r="C383" s="89"/>
      <c r="D383" s="89"/>
      <c r="G383" s="56"/>
      <c r="H383" s="89"/>
      <c r="I383" s="89"/>
      <c r="J383" s="89"/>
      <c r="L383" s="13" t="str">
        <f>IFERROR(__xludf.DUMMYFUNCTION("IF(REGEXMATCH($B383,L$1),$D383,"""")"),"")</f>
        <v/>
      </c>
      <c r="M383" s="13" t="str">
        <f>IFERROR(__xludf.DUMMYFUNCTION("IF(REGEXMATCH($B383,M$1),$D383,"""")"),"")</f>
        <v/>
      </c>
      <c r="N383" s="13" t="str">
        <f>IFERROR(__xludf.DUMMYFUNCTION("IF(REGEXMATCH($B383,N$1),$D383,"""")"),"")</f>
        <v/>
      </c>
      <c r="O383" s="13" t="str">
        <f>IFERROR(__xludf.DUMMYFUNCTION("IF(REGEXMATCH($B383,O$1),$D383,"""")"),"")</f>
        <v/>
      </c>
      <c r="P383" s="13" t="str">
        <f>IFERROR(__xludf.DUMMYFUNCTION("IF(REGEXMATCH($B383,P$1),$D383,"""")"),"")</f>
        <v/>
      </c>
      <c r="Q383" s="13" t="str">
        <f>IFERROR(__xludf.DUMMYFUNCTION("IF($A383="""","""",LEN(REGEXREPLACE($I383,"",\s?"","""")))"),"")</f>
        <v/>
      </c>
      <c r="S383" s="13"/>
      <c r="T383" s="13"/>
      <c r="U383" s="13"/>
      <c r="V383" s="13"/>
      <c r="W383" s="13"/>
      <c r="X383" s="13"/>
      <c r="Y383" s="13"/>
      <c r="Z383" s="13"/>
      <c r="AA383" s="13"/>
      <c r="AB383" s="13"/>
    </row>
    <row r="384" hidden="1">
      <c r="C384" s="89"/>
      <c r="D384" s="89"/>
      <c r="G384" s="56"/>
      <c r="H384" s="89"/>
      <c r="I384" s="89"/>
      <c r="J384" s="89"/>
      <c r="L384" s="13" t="str">
        <f>IFERROR(__xludf.DUMMYFUNCTION("IF(REGEXMATCH($B384,L$1),$D384,"""")"),"")</f>
        <v/>
      </c>
      <c r="M384" s="13" t="str">
        <f>IFERROR(__xludf.DUMMYFUNCTION("IF(REGEXMATCH($B384,M$1),$D384,"""")"),"")</f>
        <v/>
      </c>
      <c r="N384" s="13" t="str">
        <f>IFERROR(__xludf.DUMMYFUNCTION("IF(REGEXMATCH($B384,N$1),$D384,"""")"),"")</f>
        <v/>
      </c>
      <c r="O384" s="13" t="str">
        <f>IFERROR(__xludf.DUMMYFUNCTION("IF(REGEXMATCH($B384,O$1),$D384,"""")"),"")</f>
        <v/>
      </c>
      <c r="P384" s="13" t="str">
        <f>IFERROR(__xludf.DUMMYFUNCTION("IF(REGEXMATCH($B384,P$1),$D384,"""")"),"")</f>
        <v/>
      </c>
      <c r="Q384" s="13" t="str">
        <f>IFERROR(__xludf.DUMMYFUNCTION("IF($A384="""","""",LEN(REGEXREPLACE($I384,"",\s?"","""")))"),"")</f>
        <v/>
      </c>
      <c r="S384" s="13"/>
      <c r="T384" s="13"/>
      <c r="U384" s="13"/>
      <c r="V384" s="13"/>
      <c r="W384" s="13"/>
      <c r="X384" s="13"/>
      <c r="Y384" s="13"/>
      <c r="Z384" s="13"/>
      <c r="AA384" s="13"/>
      <c r="AB384" s="13"/>
    </row>
    <row r="385" hidden="1">
      <c r="C385" s="89"/>
      <c r="D385" s="89"/>
      <c r="G385" s="56"/>
      <c r="H385" s="89"/>
      <c r="I385" s="89"/>
      <c r="J385" s="89"/>
      <c r="L385" s="13" t="str">
        <f>IFERROR(__xludf.DUMMYFUNCTION("IF(REGEXMATCH($B385,L$1),$D385,"""")"),"")</f>
        <v/>
      </c>
      <c r="M385" s="13" t="str">
        <f>IFERROR(__xludf.DUMMYFUNCTION("IF(REGEXMATCH($B385,M$1),$D385,"""")"),"")</f>
        <v/>
      </c>
      <c r="N385" s="13" t="str">
        <f>IFERROR(__xludf.DUMMYFUNCTION("IF(REGEXMATCH($B385,N$1),$D385,"""")"),"")</f>
        <v/>
      </c>
      <c r="O385" s="13" t="str">
        <f>IFERROR(__xludf.DUMMYFUNCTION("IF(REGEXMATCH($B385,O$1),$D385,"""")"),"")</f>
        <v/>
      </c>
      <c r="P385" s="13" t="str">
        <f>IFERROR(__xludf.DUMMYFUNCTION("IF(REGEXMATCH($B385,P$1),$D385,"""")"),"")</f>
        <v/>
      </c>
      <c r="Q385" s="13" t="str">
        <f>IFERROR(__xludf.DUMMYFUNCTION("IF($A385="""","""",LEN(REGEXREPLACE($I385,"",\s?"","""")))"),"")</f>
        <v/>
      </c>
      <c r="S385" s="13"/>
      <c r="T385" s="13"/>
      <c r="U385" s="13"/>
      <c r="V385" s="13"/>
      <c r="W385" s="13"/>
      <c r="X385" s="13"/>
      <c r="Y385" s="13"/>
      <c r="Z385" s="13"/>
      <c r="AA385" s="13"/>
      <c r="AB385" s="13"/>
    </row>
    <row r="386" hidden="1">
      <c r="C386" s="89"/>
      <c r="D386" s="89"/>
      <c r="G386" s="56"/>
      <c r="H386" s="89"/>
      <c r="I386" s="89"/>
      <c r="J386" s="89"/>
      <c r="L386" s="13" t="str">
        <f>IFERROR(__xludf.DUMMYFUNCTION("IF(REGEXMATCH($B386,L$1),$D386,"""")"),"")</f>
        <v/>
      </c>
      <c r="M386" s="13" t="str">
        <f>IFERROR(__xludf.DUMMYFUNCTION("IF(REGEXMATCH($B386,M$1),$D386,"""")"),"")</f>
        <v/>
      </c>
      <c r="N386" s="13" t="str">
        <f>IFERROR(__xludf.DUMMYFUNCTION("IF(REGEXMATCH($B386,N$1),$D386,"""")"),"")</f>
        <v/>
      </c>
      <c r="O386" s="13" t="str">
        <f>IFERROR(__xludf.DUMMYFUNCTION("IF(REGEXMATCH($B386,O$1),$D386,"""")"),"")</f>
        <v/>
      </c>
      <c r="P386" s="13" t="str">
        <f>IFERROR(__xludf.DUMMYFUNCTION("IF(REGEXMATCH($B386,P$1),$D386,"""")"),"")</f>
        <v/>
      </c>
      <c r="Q386" s="13" t="str">
        <f>IFERROR(__xludf.DUMMYFUNCTION("IF($A386="""","""",LEN(REGEXREPLACE($I386,"",\s?"","""")))"),"")</f>
        <v/>
      </c>
      <c r="S386" s="13"/>
      <c r="T386" s="13"/>
      <c r="U386" s="13"/>
      <c r="V386" s="13"/>
      <c r="W386" s="13"/>
      <c r="X386" s="13"/>
      <c r="Y386" s="13"/>
      <c r="Z386" s="13"/>
      <c r="AA386" s="13"/>
      <c r="AB386" s="13"/>
    </row>
    <row r="387" hidden="1">
      <c r="C387" s="89"/>
      <c r="D387" s="89"/>
      <c r="G387" s="56"/>
      <c r="H387" s="89"/>
      <c r="I387" s="89"/>
      <c r="J387" s="89"/>
      <c r="L387" s="13" t="str">
        <f>IFERROR(__xludf.DUMMYFUNCTION("IF(REGEXMATCH($B387,L$1),$D387,"""")"),"")</f>
        <v/>
      </c>
      <c r="M387" s="13" t="str">
        <f>IFERROR(__xludf.DUMMYFUNCTION("IF(REGEXMATCH($B387,M$1),$D387,"""")"),"")</f>
        <v/>
      </c>
      <c r="N387" s="13" t="str">
        <f>IFERROR(__xludf.DUMMYFUNCTION("IF(REGEXMATCH($B387,N$1),$D387,"""")"),"")</f>
        <v/>
      </c>
      <c r="O387" s="13" t="str">
        <f>IFERROR(__xludf.DUMMYFUNCTION("IF(REGEXMATCH($B387,O$1),$D387,"""")"),"")</f>
        <v/>
      </c>
      <c r="P387" s="13" t="str">
        <f>IFERROR(__xludf.DUMMYFUNCTION("IF(REGEXMATCH($B387,P$1),$D387,"""")"),"")</f>
        <v/>
      </c>
      <c r="Q387" s="13" t="str">
        <f>IFERROR(__xludf.DUMMYFUNCTION("IF($A387="""","""",LEN(REGEXREPLACE($I387,"",\s?"","""")))"),"")</f>
        <v/>
      </c>
      <c r="S387" s="13"/>
      <c r="T387" s="13"/>
      <c r="U387" s="13"/>
      <c r="V387" s="13"/>
      <c r="W387" s="13"/>
      <c r="X387" s="13"/>
      <c r="Y387" s="13"/>
      <c r="Z387" s="13"/>
      <c r="AA387" s="13"/>
      <c r="AB387" s="13"/>
    </row>
    <row r="388" hidden="1">
      <c r="C388" s="89"/>
      <c r="D388" s="89"/>
      <c r="G388" s="56"/>
      <c r="H388" s="89"/>
      <c r="I388" s="89"/>
      <c r="J388" s="89"/>
      <c r="L388" s="13" t="str">
        <f>IFERROR(__xludf.DUMMYFUNCTION("IF(REGEXMATCH($B388,L$1),$D388,"""")"),"")</f>
        <v/>
      </c>
      <c r="M388" s="13" t="str">
        <f>IFERROR(__xludf.DUMMYFUNCTION("IF(REGEXMATCH($B388,M$1),$D388,"""")"),"")</f>
        <v/>
      </c>
      <c r="N388" s="13" t="str">
        <f>IFERROR(__xludf.DUMMYFUNCTION("IF(REGEXMATCH($B388,N$1),$D388,"""")"),"")</f>
        <v/>
      </c>
      <c r="O388" s="13" t="str">
        <f>IFERROR(__xludf.DUMMYFUNCTION("IF(REGEXMATCH($B388,O$1),$D388,"""")"),"")</f>
        <v/>
      </c>
      <c r="P388" s="13" t="str">
        <f>IFERROR(__xludf.DUMMYFUNCTION("IF(REGEXMATCH($B388,P$1),$D388,"""")"),"")</f>
        <v/>
      </c>
      <c r="Q388" s="13" t="str">
        <f>IFERROR(__xludf.DUMMYFUNCTION("IF($A388="""","""",LEN(REGEXREPLACE($I388,"",\s?"","""")))"),"")</f>
        <v/>
      </c>
      <c r="S388" s="13"/>
      <c r="T388" s="13"/>
      <c r="U388" s="13"/>
      <c r="V388" s="13"/>
      <c r="W388" s="13"/>
      <c r="X388" s="13"/>
      <c r="Y388" s="13"/>
      <c r="Z388" s="13"/>
      <c r="AA388" s="13"/>
      <c r="AB388" s="13"/>
    </row>
    <row r="389" hidden="1">
      <c r="C389" s="89"/>
      <c r="D389" s="89"/>
      <c r="G389" s="56"/>
      <c r="H389" s="89"/>
      <c r="I389" s="89"/>
      <c r="J389" s="89"/>
      <c r="L389" s="13" t="str">
        <f>IFERROR(__xludf.DUMMYFUNCTION("IF(REGEXMATCH($B389,L$1),$D389,"""")"),"")</f>
        <v/>
      </c>
      <c r="M389" s="13" t="str">
        <f>IFERROR(__xludf.DUMMYFUNCTION("IF(REGEXMATCH($B389,M$1),$D389,"""")"),"")</f>
        <v/>
      </c>
      <c r="N389" s="13" t="str">
        <f>IFERROR(__xludf.DUMMYFUNCTION("IF(REGEXMATCH($B389,N$1),$D389,"""")"),"")</f>
        <v/>
      </c>
      <c r="O389" s="13" t="str">
        <f>IFERROR(__xludf.DUMMYFUNCTION("IF(REGEXMATCH($B389,O$1),$D389,"""")"),"")</f>
        <v/>
      </c>
      <c r="P389" s="13" t="str">
        <f>IFERROR(__xludf.DUMMYFUNCTION("IF(REGEXMATCH($B389,P$1),$D389,"""")"),"")</f>
        <v/>
      </c>
      <c r="Q389" s="13" t="str">
        <f>IFERROR(__xludf.DUMMYFUNCTION("IF($A389="""","""",LEN(REGEXREPLACE($I389,"",\s?"","""")))"),"")</f>
        <v/>
      </c>
      <c r="S389" s="13"/>
      <c r="T389" s="13"/>
      <c r="U389" s="13"/>
      <c r="V389" s="13"/>
      <c r="W389" s="13"/>
      <c r="X389" s="13"/>
      <c r="Y389" s="13"/>
      <c r="Z389" s="13"/>
      <c r="AA389" s="13"/>
      <c r="AB389" s="13"/>
    </row>
    <row r="390" hidden="1">
      <c r="C390" s="89"/>
      <c r="D390" s="89"/>
      <c r="G390" s="56"/>
      <c r="H390" s="89"/>
      <c r="I390" s="89"/>
      <c r="J390" s="89"/>
      <c r="L390" s="13" t="str">
        <f>IFERROR(__xludf.DUMMYFUNCTION("IF(REGEXMATCH($B390,L$1),$D390,"""")"),"")</f>
        <v/>
      </c>
      <c r="M390" s="13" t="str">
        <f>IFERROR(__xludf.DUMMYFUNCTION("IF(REGEXMATCH($B390,M$1),$D390,"""")"),"")</f>
        <v/>
      </c>
      <c r="N390" s="13" t="str">
        <f>IFERROR(__xludf.DUMMYFUNCTION("IF(REGEXMATCH($B390,N$1),$D390,"""")"),"")</f>
        <v/>
      </c>
      <c r="O390" s="13" t="str">
        <f>IFERROR(__xludf.DUMMYFUNCTION("IF(REGEXMATCH($B390,O$1),$D390,"""")"),"")</f>
        <v/>
      </c>
      <c r="P390" s="13" t="str">
        <f>IFERROR(__xludf.DUMMYFUNCTION("IF(REGEXMATCH($B390,P$1),$D390,"""")"),"")</f>
        <v/>
      </c>
      <c r="Q390" s="13" t="str">
        <f>IFERROR(__xludf.DUMMYFUNCTION("IF($A390="""","""",LEN(REGEXREPLACE($I390,"",\s?"","""")))"),"")</f>
        <v/>
      </c>
      <c r="S390" s="13"/>
      <c r="T390" s="13"/>
      <c r="U390" s="13"/>
      <c r="V390" s="13"/>
      <c r="W390" s="13"/>
      <c r="X390" s="13"/>
      <c r="Y390" s="13"/>
      <c r="Z390" s="13"/>
      <c r="AA390" s="13"/>
      <c r="AB390" s="13"/>
    </row>
    <row r="391" hidden="1">
      <c r="C391" s="89"/>
      <c r="D391" s="89"/>
      <c r="G391" s="56"/>
      <c r="H391" s="89"/>
      <c r="I391" s="89"/>
      <c r="J391" s="89"/>
      <c r="L391" s="13" t="str">
        <f>IFERROR(__xludf.DUMMYFUNCTION("IF(REGEXMATCH($B391,L$1),$D391,"""")"),"")</f>
        <v/>
      </c>
      <c r="M391" s="13" t="str">
        <f>IFERROR(__xludf.DUMMYFUNCTION("IF(REGEXMATCH($B391,M$1),$D391,"""")"),"")</f>
        <v/>
      </c>
      <c r="N391" s="13" t="str">
        <f>IFERROR(__xludf.DUMMYFUNCTION("IF(REGEXMATCH($B391,N$1),$D391,"""")"),"")</f>
        <v/>
      </c>
      <c r="O391" s="13" t="str">
        <f>IFERROR(__xludf.DUMMYFUNCTION("IF(REGEXMATCH($B391,O$1),$D391,"""")"),"")</f>
        <v/>
      </c>
      <c r="P391" s="13" t="str">
        <f>IFERROR(__xludf.DUMMYFUNCTION("IF(REGEXMATCH($B391,P$1),$D391,"""")"),"")</f>
        <v/>
      </c>
      <c r="Q391" s="13" t="str">
        <f>IFERROR(__xludf.DUMMYFUNCTION("IF($A391="""","""",LEN(REGEXREPLACE($I391,"",\s?"","""")))"),"")</f>
        <v/>
      </c>
      <c r="S391" s="13"/>
      <c r="T391" s="13"/>
      <c r="U391" s="13"/>
      <c r="V391" s="13"/>
      <c r="W391" s="13"/>
      <c r="X391" s="13"/>
      <c r="Y391" s="13"/>
      <c r="Z391" s="13"/>
      <c r="AA391" s="13"/>
      <c r="AB391" s="13"/>
    </row>
    <row r="392" hidden="1">
      <c r="C392" s="89"/>
      <c r="D392" s="89"/>
      <c r="G392" s="56"/>
      <c r="H392" s="89"/>
      <c r="I392" s="89"/>
      <c r="J392" s="89"/>
      <c r="L392" s="13" t="str">
        <f>IFERROR(__xludf.DUMMYFUNCTION("IF(REGEXMATCH($B392,L$1),$D392,"""")"),"")</f>
        <v/>
      </c>
      <c r="M392" s="13" t="str">
        <f>IFERROR(__xludf.DUMMYFUNCTION("IF(REGEXMATCH($B392,M$1),$D392,"""")"),"")</f>
        <v/>
      </c>
      <c r="N392" s="13" t="str">
        <f>IFERROR(__xludf.DUMMYFUNCTION("IF(REGEXMATCH($B392,N$1),$D392,"""")"),"")</f>
        <v/>
      </c>
      <c r="O392" s="13" t="str">
        <f>IFERROR(__xludf.DUMMYFUNCTION("IF(REGEXMATCH($B392,O$1),$D392,"""")"),"")</f>
        <v/>
      </c>
      <c r="P392" s="13" t="str">
        <f>IFERROR(__xludf.DUMMYFUNCTION("IF(REGEXMATCH($B392,P$1),$D392,"""")"),"")</f>
        <v/>
      </c>
      <c r="Q392" s="13" t="str">
        <f>IFERROR(__xludf.DUMMYFUNCTION("IF($A392="""","""",LEN(REGEXREPLACE($I392,"",\s?"","""")))"),"")</f>
        <v/>
      </c>
      <c r="S392" s="13"/>
      <c r="T392" s="13"/>
      <c r="U392" s="13"/>
      <c r="V392" s="13"/>
      <c r="W392" s="13"/>
      <c r="X392" s="13"/>
      <c r="Y392" s="13"/>
      <c r="Z392" s="13"/>
      <c r="AA392" s="13"/>
      <c r="AB392" s="13"/>
    </row>
    <row r="393" hidden="1">
      <c r="C393" s="89"/>
      <c r="D393" s="89"/>
      <c r="G393" s="56"/>
      <c r="H393" s="89"/>
      <c r="I393" s="89"/>
      <c r="J393" s="89"/>
      <c r="L393" s="13" t="str">
        <f>IFERROR(__xludf.DUMMYFUNCTION("IF(REGEXMATCH($B393,L$1),$D393,"""")"),"")</f>
        <v/>
      </c>
      <c r="M393" s="13" t="str">
        <f>IFERROR(__xludf.DUMMYFUNCTION("IF(REGEXMATCH($B393,M$1),$D393,"""")"),"")</f>
        <v/>
      </c>
      <c r="N393" s="13" t="str">
        <f>IFERROR(__xludf.DUMMYFUNCTION("IF(REGEXMATCH($B393,N$1),$D393,"""")"),"")</f>
        <v/>
      </c>
      <c r="O393" s="13" t="str">
        <f>IFERROR(__xludf.DUMMYFUNCTION("IF(REGEXMATCH($B393,O$1),$D393,"""")"),"")</f>
        <v/>
      </c>
      <c r="P393" s="13" t="str">
        <f>IFERROR(__xludf.DUMMYFUNCTION("IF(REGEXMATCH($B393,P$1),$D393,"""")"),"")</f>
        <v/>
      </c>
      <c r="Q393" s="13" t="str">
        <f>IFERROR(__xludf.DUMMYFUNCTION("IF($A393="""","""",LEN(REGEXREPLACE($I393,"",\s?"","""")))"),"")</f>
        <v/>
      </c>
      <c r="S393" s="13"/>
      <c r="T393" s="13"/>
      <c r="U393" s="13"/>
      <c r="V393" s="13"/>
      <c r="W393" s="13"/>
      <c r="X393" s="13"/>
      <c r="Y393" s="13"/>
      <c r="Z393" s="13"/>
      <c r="AA393" s="13"/>
      <c r="AB393" s="13"/>
    </row>
    <row r="394" hidden="1">
      <c r="C394" s="89"/>
      <c r="D394" s="89"/>
      <c r="G394" s="56"/>
      <c r="H394" s="89"/>
      <c r="I394" s="89"/>
      <c r="J394" s="89"/>
      <c r="L394" s="13" t="str">
        <f>IFERROR(__xludf.DUMMYFUNCTION("IF(REGEXMATCH($B394,L$1),$D394,"""")"),"")</f>
        <v/>
      </c>
      <c r="M394" s="13" t="str">
        <f>IFERROR(__xludf.DUMMYFUNCTION("IF(REGEXMATCH($B394,M$1),$D394,"""")"),"")</f>
        <v/>
      </c>
      <c r="N394" s="13" t="str">
        <f>IFERROR(__xludf.DUMMYFUNCTION("IF(REGEXMATCH($B394,N$1),$D394,"""")"),"")</f>
        <v/>
      </c>
      <c r="O394" s="13" t="str">
        <f>IFERROR(__xludf.DUMMYFUNCTION("IF(REGEXMATCH($B394,O$1),$D394,"""")"),"")</f>
        <v/>
      </c>
      <c r="P394" s="13" t="str">
        <f>IFERROR(__xludf.DUMMYFUNCTION("IF(REGEXMATCH($B394,P$1),$D394,"""")"),"")</f>
        <v/>
      </c>
      <c r="Q394" s="13" t="str">
        <f>IFERROR(__xludf.DUMMYFUNCTION("IF($A394="""","""",LEN(REGEXREPLACE($I394,"",\s?"","""")))"),"")</f>
        <v/>
      </c>
      <c r="S394" s="13"/>
      <c r="T394" s="13"/>
      <c r="U394" s="13"/>
      <c r="V394" s="13"/>
      <c r="W394" s="13"/>
      <c r="X394" s="13"/>
      <c r="Y394" s="13"/>
      <c r="Z394" s="13"/>
      <c r="AA394" s="13"/>
      <c r="AB394" s="13"/>
    </row>
    <row r="395" hidden="1">
      <c r="C395" s="89"/>
      <c r="D395" s="89"/>
      <c r="G395" s="56"/>
      <c r="H395" s="89"/>
      <c r="I395" s="89"/>
      <c r="J395" s="89"/>
      <c r="L395" s="13" t="str">
        <f>IFERROR(__xludf.DUMMYFUNCTION("IF(REGEXMATCH($B395,L$1),$D395,"""")"),"")</f>
        <v/>
      </c>
      <c r="M395" s="13" t="str">
        <f>IFERROR(__xludf.DUMMYFUNCTION("IF(REGEXMATCH($B395,M$1),$D395,"""")"),"")</f>
        <v/>
      </c>
      <c r="N395" s="13" t="str">
        <f>IFERROR(__xludf.DUMMYFUNCTION("IF(REGEXMATCH($B395,N$1),$D395,"""")"),"")</f>
        <v/>
      </c>
      <c r="O395" s="13" t="str">
        <f>IFERROR(__xludf.DUMMYFUNCTION("IF(REGEXMATCH($B395,O$1),$D395,"""")"),"")</f>
        <v/>
      </c>
      <c r="P395" s="13" t="str">
        <f>IFERROR(__xludf.DUMMYFUNCTION("IF(REGEXMATCH($B395,P$1),$D395,"""")"),"")</f>
        <v/>
      </c>
      <c r="Q395" s="13" t="str">
        <f>IFERROR(__xludf.DUMMYFUNCTION("IF($A395="""","""",LEN(REGEXREPLACE($I395,"",\s?"","""")))"),"")</f>
        <v/>
      </c>
      <c r="S395" s="13"/>
      <c r="T395" s="13"/>
      <c r="U395" s="13"/>
      <c r="V395" s="13"/>
      <c r="W395" s="13"/>
      <c r="X395" s="13"/>
      <c r="Y395" s="13"/>
      <c r="Z395" s="13"/>
      <c r="AA395" s="13"/>
      <c r="AB395" s="13"/>
    </row>
    <row r="396" hidden="1">
      <c r="C396" s="89"/>
      <c r="D396" s="89"/>
      <c r="G396" s="56"/>
      <c r="H396" s="89"/>
      <c r="I396" s="89"/>
      <c r="J396" s="89"/>
      <c r="L396" s="13" t="str">
        <f>IFERROR(__xludf.DUMMYFUNCTION("IF(REGEXMATCH($B396,L$1),$D396,"""")"),"")</f>
        <v/>
      </c>
      <c r="M396" s="13" t="str">
        <f>IFERROR(__xludf.DUMMYFUNCTION("IF(REGEXMATCH($B396,M$1),$D396,"""")"),"")</f>
        <v/>
      </c>
      <c r="N396" s="13" t="str">
        <f>IFERROR(__xludf.DUMMYFUNCTION("IF(REGEXMATCH($B396,N$1),$D396,"""")"),"")</f>
        <v/>
      </c>
      <c r="O396" s="13" t="str">
        <f>IFERROR(__xludf.DUMMYFUNCTION("IF(REGEXMATCH($B396,O$1),$D396,"""")"),"")</f>
        <v/>
      </c>
      <c r="P396" s="13" t="str">
        <f>IFERROR(__xludf.DUMMYFUNCTION("IF(REGEXMATCH($B396,P$1),$D396,"""")"),"")</f>
        <v/>
      </c>
      <c r="Q396" s="13" t="str">
        <f>IFERROR(__xludf.DUMMYFUNCTION("IF($A396="""","""",LEN(REGEXREPLACE($I396,"",\s?"","""")))"),"")</f>
        <v/>
      </c>
      <c r="S396" s="13"/>
      <c r="T396" s="13"/>
      <c r="U396" s="13"/>
      <c r="V396" s="13"/>
      <c r="W396" s="13"/>
      <c r="X396" s="13"/>
      <c r="Y396" s="13"/>
      <c r="Z396" s="13"/>
      <c r="AA396" s="13"/>
      <c r="AB396" s="13"/>
    </row>
    <row r="397" hidden="1">
      <c r="C397" s="89"/>
      <c r="D397" s="89"/>
      <c r="G397" s="56"/>
      <c r="H397" s="89"/>
      <c r="I397" s="89"/>
      <c r="J397" s="89"/>
      <c r="Q397" s="13" t="str">
        <f>IFERROR(__xludf.DUMMYFUNCTION("IF($A397="""","""",LEN(REGEXREPLACE($I397,"",\s?"","""")))"),"")</f>
        <v/>
      </c>
      <c r="S397" s="13"/>
      <c r="T397" s="13"/>
      <c r="U397" s="13"/>
      <c r="V397" s="13"/>
      <c r="W397" s="13"/>
      <c r="X397" s="13"/>
      <c r="Y397" s="13"/>
      <c r="Z397" s="13"/>
      <c r="AA397" s="13"/>
      <c r="AB397" s="13"/>
    </row>
    <row r="398" hidden="1">
      <c r="C398" s="89"/>
      <c r="D398" s="89"/>
      <c r="G398" s="56"/>
      <c r="H398" s="89"/>
      <c r="I398" s="89"/>
      <c r="J398" s="89"/>
      <c r="Q398" s="13" t="str">
        <f>IFERROR(__xludf.DUMMYFUNCTION("IF($A398="""","""",LEN(REGEXREPLACE($I398,"",\s?"","""")))"),"")</f>
        <v/>
      </c>
      <c r="S398" s="13"/>
      <c r="T398" s="13"/>
      <c r="U398" s="13"/>
      <c r="V398" s="13"/>
      <c r="W398" s="13"/>
      <c r="X398" s="13"/>
      <c r="Y398" s="13"/>
      <c r="Z398" s="13"/>
      <c r="AA398" s="13"/>
      <c r="AB398" s="13"/>
    </row>
    <row r="399" hidden="1">
      <c r="C399" s="89"/>
      <c r="D399" s="89"/>
      <c r="G399" s="56"/>
      <c r="H399" s="89"/>
      <c r="I399" s="89"/>
      <c r="J399" s="89"/>
      <c r="Q399" s="13" t="str">
        <f>IFERROR(__xludf.DUMMYFUNCTION("IF($A399="""","""",LEN(REGEXREPLACE($I399,"",\s?"","""")))"),"")</f>
        <v/>
      </c>
      <c r="S399" s="13"/>
      <c r="T399" s="13"/>
      <c r="U399" s="13"/>
      <c r="V399" s="13"/>
      <c r="W399" s="13"/>
      <c r="X399" s="13"/>
      <c r="Y399" s="13"/>
      <c r="Z399" s="13"/>
      <c r="AA399" s="13"/>
      <c r="AB399" s="13"/>
    </row>
    <row r="400" hidden="1">
      <c r="C400" s="89"/>
      <c r="D400" s="89"/>
      <c r="G400" s="56"/>
      <c r="H400" s="89"/>
      <c r="I400" s="89"/>
      <c r="J400" s="89"/>
      <c r="Q400" s="13" t="str">
        <f>IFERROR(__xludf.DUMMYFUNCTION("IF($A400="""","""",LEN(REGEXREPLACE($I400,"",\s?"","""")))"),"")</f>
        <v/>
      </c>
      <c r="S400" s="13"/>
      <c r="T400" s="13"/>
      <c r="U400" s="13"/>
      <c r="V400" s="13"/>
      <c r="W400" s="13"/>
      <c r="X400" s="13"/>
      <c r="Y400" s="13"/>
      <c r="Z400" s="13"/>
      <c r="AA400" s="13"/>
      <c r="AB400" s="13"/>
    </row>
    <row r="401" hidden="1">
      <c r="C401" s="89"/>
      <c r="D401" s="89"/>
      <c r="G401" s="56"/>
      <c r="H401" s="89"/>
      <c r="I401" s="89"/>
      <c r="J401" s="89"/>
      <c r="Q401" s="13" t="str">
        <f>IFERROR(__xludf.DUMMYFUNCTION("IF($A401="""","""",LEN(REGEXREPLACE($I401,"",\s?"","""")))"),"")</f>
        <v/>
      </c>
      <c r="S401" s="13"/>
      <c r="T401" s="13"/>
      <c r="U401" s="13"/>
      <c r="V401" s="13"/>
      <c r="W401" s="13"/>
      <c r="X401" s="13"/>
      <c r="Y401" s="13"/>
      <c r="Z401" s="13"/>
      <c r="AA401" s="13"/>
      <c r="AB401" s="13"/>
    </row>
    <row r="402" hidden="1">
      <c r="C402" s="89"/>
      <c r="D402" s="89"/>
      <c r="G402" s="56"/>
      <c r="H402" s="89"/>
      <c r="I402" s="89"/>
      <c r="J402" s="89"/>
      <c r="Q402" s="13" t="str">
        <f>IFERROR(__xludf.DUMMYFUNCTION("IF($A402="""","""",LEN(REGEXREPLACE($I402,"",\s?"","""")))"),"")</f>
        <v/>
      </c>
      <c r="S402" s="13"/>
      <c r="T402" s="13"/>
      <c r="U402" s="13"/>
      <c r="V402" s="13"/>
      <c r="W402" s="13"/>
      <c r="X402" s="13"/>
      <c r="Y402" s="13"/>
      <c r="Z402" s="13"/>
      <c r="AA402" s="13"/>
      <c r="AB402" s="13"/>
    </row>
    <row r="403" hidden="1">
      <c r="C403" s="89"/>
      <c r="D403" s="89"/>
      <c r="G403" s="56"/>
      <c r="H403" s="89"/>
      <c r="I403" s="89"/>
      <c r="J403" s="89"/>
      <c r="Q403" s="13" t="str">
        <f>IFERROR(__xludf.DUMMYFUNCTION("IF($A403="""","""",LEN(REGEXREPLACE($I403,"",\s?"","""")))"),"")</f>
        <v/>
      </c>
      <c r="S403" s="13"/>
      <c r="T403" s="13"/>
      <c r="U403" s="13"/>
      <c r="V403" s="13"/>
      <c r="W403" s="13"/>
      <c r="X403" s="13"/>
      <c r="Y403" s="13"/>
      <c r="Z403" s="13"/>
      <c r="AA403" s="13"/>
      <c r="AB403" s="13"/>
    </row>
    <row r="404" hidden="1">
      <c r="C404" s="89"/>
      <c r="D404" s="89"/>
      <c r="G404" s="56"/>
      <c r="H404" s="89"/>
      <c r="I404" s="89"/>
      <c r="J404" s="89"/>
      <c r="Q404" s="13" t="str">
        <f>IFERROR(__xludf.DUMMYFUNCTION("IF($A404="""","""",LEN(REGEXREPLACE($I404,"",\s?"","""")))"),"")</f>
        <v/>
      </c>
      <c r="S404" s="13"/>
      <c r="T404" s="13"/>
      <c r="U404" s="13"/>
      <c r="V404" s="13"/>
      <c r="W404" s="13"/>
      <c r="X404" s="13"/>
      <c r="Y404" s="13"/>
      <c r="Z404" s="13"/>
      <c r="AA404" s="13"/>
      <c r="AB404" s="13"/>
    </row>
    <row r="405" hidden="1">
      <c r="C405" s="89"/>
      <c r="D405" s="89"/>
      <c r="G405" s="56"/>
      <c r="H405" s="89"/>
      <c r="I405" s="89"/>
      <c r="J405" s="89"/>
      <c r="Q405" s="13" t="str">
        <f>IFERROR(__xludf.DUMMYFUNCTION("IF($A405="""","""",LEN(REGEXREPLACE($I405,"",\s?"","""")))"),"")</f>
        <v/>
      </c>
      <c r="S405" s="13"/>
      <c r="T405" s="13"/>
      <c r="U405" s="13"/>
      <c r="V405" s="13"/>
      <c r="W405" s="13"/>
      <c r="X405" s="13"/>
      <c r="Y405" s="13"/>
      <c r="Z405" s="13"/>
      <c r="AA405" s="13"/>
      <c r="AB405" s="13"/>
    </row>
    <row r="406" hidden="1">
      <c r="C406" s="89"/>
      <c r="D406" s="89"/>
      <c r="G406" s="56"/>
      <c r="H406" s="89"/>
      <c r="I406" s="89"/>
      <c r="J406" s="89"/>
      <c r="Q406" s="13" t="str">
        <f>IFERROR(__xludf.DUMMYFUNCTION("IF($A406="""","""",LEN(REGEXREPLACE($I406,"",\s?"","""")))"),"")</f>
        <v/>
      </c>
      <c r="S406" s="13"/>
      <c r="T406" s="13"/>
      <c r="U406" s="13"/>
      <c r="V406" s="13"/>
      <c r="W406" s="13"/>
      <c r="X406" s="13"/>
      <c r="Y406" s="13"/>
      <c r="Z406" s="13"/>
      <c r="AA406" s="13"/>
      <c r="AB406" s="13"/>
    </row>
    <row r="407" hidden="1">
      <c r="C407" s="89"/>
      <c r="D407" s="89"/>
      <c r="G407" s="56"/>
      <c r="H407" s="89"/>
      <c r="I407" s="89"/>
      <c r="J407" s="89"/>
      <c r="Q407" s="13" t="str">
        <f>IFERROR(__xludf.DUMMYFUNCTION("IF($A407="""","""",LEN(REGEXREPLACE($I407,"",\s?"","""")))"),"")</f>
        <v/>
      </c>
      <c r="S407" s="13"/>
      <c r="T407" s="13"/>
      <c r="U407" s="13"/>
      <c r="V407" s="13"/>
      <c r="W407" s="13"/>
      <c r="X407" s="13"/>
      <c r="Y407" s="13"/>
      <c r="Z407" s="13"/>
      <c r="AA407" s="13"/>
      <c r="AB407" s="13"/>
    </row>
    <row r="408" hidden="1">
      <c r="C408" s="89"/>
      <c r="D408" s="89"/>
      <c r="G408" s="56"/>
      <c r="H408" s="89"/>
      <c r="I408" s="89"/>
      <c r="J408" s="89"/>
      <c r="Q408" s="13" t="str">
        <f>IFERROR(__xludf.DUMMYFUNCTION("IF($A408="""","""",LEN(REGEXREPLACE($I408,"",\s?"","""")))"),"")</f>
        <v/>
      </c>
      <c r="S408" s="13"/>
      <c r="T408" s="13"/>
      <c r="U408" s="13"/>
      <c r="V408" s="13"/>
      <c r="W408" s="13"/>
      <c r="X408" s="13"/>
      <c r="Y408" s="13"/>
      <c r="Z408" s="13"/>
      <c r="AA408" s="13"/>
      <c r="AB408" s="13"/>
    </row>
    <row r="409" hidden="1">
      <c r="C409" s="89"/>
      <c r="D409" s="89"/>
      <c r="G409" s="56"/>
      <c r="H409" s="89"/>
      <c r="I409" s="89"/>
      <c r="J409" s="89"/>
      <c r="Q409" s="13" t="str">
        <f>IFERROR(__xludf.DUMMYFUNCTION("IF($A409="""","""",LEN(REGEXREPLACE($I409,"",\s?"","""")))"),"")</f>
        <v/>
      </c>
      <c r="S409" s="13"/>
      <c r="T409" s="13"/>
      <c r="U409" s="13"/>
      <c r="V409" s="13"/>
      <c r="W409" s="13"/>
      <c r="X409" s="13"/>
      <c r="Y409" s="13"/>
      <c r="Z409" s="13"/>
      <c r="AA409" s="13"/>
      <c r="AB409" s="13"/>
    </row>
    <row r="410" hidden="1">
      <c r="C410" s="89"/>
      <c r="D410" s="89"/>
      <c r="G410" s="56"/>
      <c r="H410" s="89"/>
      <c r="I410" s="89"/>
      <c r="J410" s="89"/>
      <c r="Q410" s="13" t="str">
        <f>IFERROR(__xludf.DUMMYFUNCTION("IF($A410="""","""",LEN(REGEXREPLACE($I410,"",\s?"","""")))"),"")</f>
        <v/>
      </c>
      <c r="S410" s="13"/>
      <c r="T410" s="13"/>
      <c r="U410" s="13"/>
      <c r="V410" s="13"/>
      <c r="W410" s="13"/>
      <c r="X410" s="13"/>
      <c r="Y410" s="13"/>
      <c r="Z410" s="13"/>
      <c r="AA410" s="13"/>
      <c r="AB410" s="13"/>
    </row>
    <row r="411" hidden="1">
      <c r="C411" s="89"/>
      <c r="D411" s="89"/>
      <c r="G411" s="56"/>
      <c r="H411" s="89"/>
      <c r="I411" s="89"/>
      <c r="J411" s="89"/>
      <c r="Q411" s="13" t="str">
        <f>IFERROR(__xludf.DUMMYFUNCTION("IF($A411="""","""",LEN(REGEXREPLACE($I411,"",\s?"","""")))"),"")</f>
        <v/>
      </c>
      <c r="S411" s="13"/>
      <c r="T411" s="13"/>
      <c r="U411" s="13"/>
      <c r="V411" s="13"/>
      <c r="W411" s="13"/>
      <c r="X411" s="13"/>
      <c r="Y411" s="13"/>
      <c r="Z411" s="13"/>
      <c r="AA411" s="13"/>
      <c r="AB411" s="13"/>
    </row>
    <row r="412" hidden="1">
      <c r="C412" s="89"/>
      <c r="D412" s="89"/>
      <c r="G412" s="56"/>
      <c r="H412" s="89"/>
      <c r="I412" s="89"/>
      <c r="J412" s="89"/>
      <c r="Q412" s="13" t="str">
        <f>IFERROR(__xludf.DUMMYFUNCTION("IF($A412="""","""",LEN(REGEXREPLACE($I412,"",\s?"","""")))"),"")</f>
        <v/>
      </c>
      <c r="S412" s="13"/>
      <c r="T412" s="13"/>
      <c r="U412" s="13"/>
      <c r="V412" s="13"/>
      <c r="W412" s="13"/>
      <c r="X412" s="13"/>
      <c r="Y412" s="13"/>
      <c r="Z412" s="13"/>
      <c r="AA412" s="13"/>
      <c r="AB412" s="13"/>
    </row>
    <row r="413" hidden="1">
      <c r="C413" s="89"/>
      <c r="D413" s="89"/>
      <c r="G413" s="56"/>
      <c r="H413" s="89"/>
      <c r="I413" s="89"/>
      <c r="J413" s="89"/>
      <c r="Q413" s="13" t="str">
        <f>IFERROR(__xludf.DUMMYFUNCTION("IF($A413="""","""",LEN(REGEXREPLACE($I413,"",\s?"","""")))"),"")</f>
        <v/>
      </c>
      <c r="S413" s="13"/>
      <c r="T413" s="13"/>
      <c r="U413" s="13"/>
      <c r="V413" s="13"/>
      <c r="W413" s="13"/>
      <c r="X413" s="13"/>
      <c r="Y413" s="13"/>
      <c r="Z413" s="13"/>
      <c r="AA413" s="13"/>
      <c r="AB413" s="13"/>
    </row>
    <row r="414" hidden="1">
      <c r="C414" s="89"/>
      <c r="D414" s="89"/>
      <c r="G414" s="56"/>
      <c r="H414" s="89"/>
      <c r="I414" s="89"/>
      <c r="J414" s="89"/>
      <c r="Q414" s="13" t="str">
        <f>IFERROR(__xludf.DUMMYFUNCTION("IF($A414="""","""",LEN(REGEXREPLACE($I414,"",\s?"","""")))"),"")</f>
        <v/>
      </c>
      <c r="S414" s="13"/>
      <c r="T414" s="13"/>
      <c r="U414" s="13"/>
      <c r="V414" s="13"/>
      <c r="W414" s="13"/>
      <c r="X414" s="13"/>
      <c r="Y414" s="13"/>
      <c r="Z414" s="13"/>
      <c r="AA414" s="13"/>
      <c r="AB414" s="13"/>
    </row>
    <row r="415" hidden="1">
      <c r="C415" s="89"/>
      <c r="D415" s="89"/>
      <c r="G415" s="56"/>
      <c r="H415" s="89"/>
      <c r="I415" s="89"/>
      <c r="J415" s="89"/>
      <c r="Q415" s="13" t="str">
        <f>IFERROR(__xludf.DUMMYFUNCTION("IF($A415="""","""",LEN(REGEXREPLACE($I415,"",\s?"","""")))"),"")</f>
        <v/>
      </c>
      <c r="S415" s="13"/>
      <c r="T415" s="13"/>
      <c r="U415" s="13"/>
      <c r="V415" s="13"/>
      <c r="W415" s="13"/>
      <c r="X415" s="13"/>
      <c r="Y415" s="13"/>
      <c r="Z415" s="13"/>
      <c r="AA415" s="13"/>
      <c r="AB415" s="13"/>
    </row>
    <row r="416" hidden="1">
      <c r="C416" s="89"/>
      <c r="D416" s="89"/>
      <c r="G416" s="56"/>
      <c r="H416" s="89"/>
      <c r="I416" s="89"/>
      <c r="J416" s="89"/>
      <c r="Q416" s="13" t="str">
        <f>IFERROR(__xludf.DUMMYFUNCTION("IF($A416="""","""",LEN(REGEXREPLACE($I416,"",\s?"","""")))"),"")</f>
        <v/>
      </c>
      <c r="S416" s="13"/>
      <c r="T416" s="13"/>
      <c r="U416" s="13"/>
      <c r="V416" s="13"/>
      <c r="W416" s="13"/>
      <c r="X416" s="13"/>
      <c r="Y416" s="13"/>
      <c r="Z416" s="13"/>
      <c r="AA416" s="13"/>
      <c r="AB416" s="13"/>
    </row>
    <row r="417" hidden="1">
      <c r="C417" s="89"/>
      <c r="D417" s="89"/>
      <c r="G417" s="56"/>
      <c r="H417" s="89"/>
      <c r="I417" s="89"/>
      <c r="J417" s="89"/>
      <c r="Q417" s="13" t="str">
        <f>IFERROR(__xludf.DUMMYFUNCTION("IF($A417="""","""",LEN(REGEXREPLACE($I417,"",\s?"","""")))"),"")</f>
        <v/>
      </c>
      <c r="S417" s="13"/>
      <c r="T417" s="13"/>
      <c r="U417" s="13"/>
      <c r="V417" s="13"/>
      <c r="W417" s="13"/>
      <c r="X417" s="13"/>
      <c r="Y417" s="13"/>
      <c r="Z417" s="13"/>
      <c r="AA417" s="13"/>
      <c r="AB417" s="13"/>
    </row>
    <row r="418" hidden="1">
      <c r="C418" s="89"/>
      <c r="D418" s="89"/>
      <c r="G418" s="56"/>
      <c r="H418" s="89"/>
      <c r="I418" s="89"/>
      <c r="J418" s="89"/>
      <c r="Q418" s="13" t="str">
        <f>IFERROR(__xludf.DUMMYFUNCTION("IF($A418="""","""",LEN(REGEXREPLACE($I418,"",\s?"","""")))"),"")</f>
        <v/>
      </c>
      <c r="S418" s="13"/>
      <c r="T418" s="13"/>
      <c r="U418" s="13"/>
      <c r="V418" s="13"/>
      <c r="W418" s="13"/>
      <c r="X418" s="13"/>
      <c r="Y418" s="13"/>
      <c r="Z418" s="13"/>
      <c r="AA418" s="13"/>
      <c r="AB418" s="13"/>
    </row>
    <row r="419" hidden="1">
      <c r="C419" s="89"/>
      <c r="D419" s="89"/>
      <c r="G419" s="56"/>
      <c r="H419" s="89"/>
      <c r="I419" s="89"/>
      <c r="J419" s="89"/>
      <c r="Q419" s="13" t="str">
        <f>IFERROR(__xludf.DUMMYFUNCTION("IF($A419="""","""",LEN(REGEXREPLACE($I419,"",\s?"","""")))"),"")</f>
        <v/>
      </c>
      <c r="S419" s="13"/>
      <c r="T419" s="13"/>
      <c r="U419" s="13"/>
      <c r="V419" s="13"/>
      <c r="W419" s="13"/>
      <c r="X419" s="13"/>
      <c r="Y419" s="13"/>
      <c r="Z419" s="13"/>
      <c r="AA419" s="13"/>
      <c r="AB419" s="13"/>
    </row>
    <row r="420" hidden="1">
      <c r="C420" s="89"/>
      <c r="D420" s="89"/>
      <c r="G420" s="56"/>
      <c r="H420" s="89"/>
      <c r="I420" s="89"/>
      <c r="J420" s="89"/>
      <c r="Q420" s="13" t="str">
        <f>IFERROR(__xludf.DUMMYFUNCTION("IF($A420="""","""",LEN(REGEXREPLACE($I420,"",\s?"","""")))"),"")</f>
        <v/>
      </c>
      <c r="S420" s="13"/>
      <c r="T420" s="13"/>
      <c r="U420" s="13"/>
      <c r="V420" s="13"/>
      <c r="W420" s="13"/>
      <c r="X420" s="13"/>
      <c r="Y420" s="13"/>
      <c r="Z420" s="13"/>
      <c r="AA420" s="13"/>
      <c r="AB420" s="13"/>
    </row>
    <row r="421" hidden="1">
      <c r="C421" s="89"/>
      <c r="D421" s="89"/>
      <c r="G421" s="56"/>
      <c r="H421" s="89"/>
      <c r="I421" s="89"/>
      <c r="J421" s="89"/>
      <c r="Q421" s="13" t="str">
        <f>IFERROR(__xludf.DUMMYFUNCTION("IF($A421="""","""",LEN(REGEXREPLACE($I421,"",\s?"","""")))"),"")</f>
        <v/>
      </c>
      <c r="S421" s="13"/>
      <c r="T421" s="13"/>
      <c r="U421" s="13"/>
      <c r="V421" s="13"/>
      <c r="W421" s="13"/>
      <c r="X421" s="13"/>
      <c r="Y421" s="13"/>
      <c r="Z421" s="13"/>
      <c r="AA421" s="13"/>
      <c r="AB421" s="13"/>
    </row>
    <row r="422" hidden="1">
      <c r="C422" s="89"/>
      <c r="D422" s="89"/>
      <c r="G422" s="56"/>
      <c r="H422" s="89"/>
      <c r="I422" s="89"/>
      <c r="J422" s="89"/>
      <c r="Q422" s="13" t="str">
        <f>IFERROR(__xludf.DUMMYFUNCTION("IF($A422="""","""",LEN(REGEXREPLACE($I422,"",\s?"","""")))"),"")</f>
        <v/>
      </c>
      <c r="S422" s="13"/>
      <c r="T422" s="13"/>
      <c r="U422" s="13"/>
      <c r="V422" s="13"/>
      <c r="W422" s="13"/>
      <c r="X422" s="13"/>
      <c r="Y422" s="13"/>
      <c r="Z422" s="13"/>
      <c r="AA422" s="13"/>
      <c r="AB422" s="13"/>
    </row>
    <row r="423" hidden="1">
      <c r="C423" s="89"/>
      <c r="D423" s="89"/>
      <c r="G423" s="56"/>
      <c r="H423" s="89"/>
      <c r="I423" s="89"/>
      <c r="J423" s="89"/>
      <c r="Q423" s="13" t="str">
        <f>IFERROR(__xludf.DUMMYFUNCTION("IF($A423="""","""",LEN(REGEXREPLACE($I423,"",\s?"","""")))"),"")</f>
        <v/>
      </c>
      <c r="S423" s="13"/>
      <c r="T423" s="13"/>
      <c r="U423" s="13"/>
      <c r="V423" s="13"/>
      <c r="W423" s="13"/>
      <c r="X423" s="13"/>
      <c r="Y423" s="13"/>
      <c r="Z423" s="13"/>
      <c r="AA423" s="13"/>
      <c r="AB423" s="13"/>
    </row>
    <row r="424" hidden="1">
      <c r="C424" s="89"/>
      <c r="D424" s="89"/>
      <c r="G424" s="56"/>
      <c r="H424" s="89"/>
      <c r="I424" s="89"/>
      <c r="J424" s="89"/>
      <c r="Q424" s="13" t="str">
        <f>IFERROR(__xludf.DUMMYFUNCTION("IF($A424="""","""",LEN(REGEXREPLACE($I424,"",\s?"","""")))"),"")</f>
        <v/>
      </c>
      <c r="S424" s="13"/>
      <c r="T424" s="13"/>
      <c r="U424" s="13"/>
      <c r="V424" s="13"/>
      <c r="W424" s="13"/>
      <c r="X424" s="13"/>
      <c r="Y424" s="13"/>
      <c r="Z424" s="13"/>
      <c r="AA424" s="13"/>
      <c r="AB424" s="13"/>
    </row>
    <row r="425" hidden="1">
      <c r="C425" s="89"/>
      <c r="D425" s="89"/>
      <c r="G425" s="56"/>
      <c r="H425" s="89"/>
      <c r="I425" s="89"/>
      <c r="J425" s="89"/>
      <c r="Q425" s="13" t="str">
        <f>IFERROR(__xludf.DUMMYFUNCTION("IF($A425="""","""",LEN(REGEXREPLACE($I425,"",\s?"","""")))"),"")</f>
        <v/>
      </c>
      <c r="S425" s="13"/>
      <c r="T425" s="13"/>
      <c r="U425" s="13"/>
      <c r="V425" s="13"/>
      <c r="W425" s="13"/>
      <c r="X425" s="13"/>
      <c r="Y425" s="13"/>
      <c r="Z425" s="13"/>
      <c r="AA425" s="13"/>
      <c r="AB425" s="13"/>
    </row>
    <row r="426" hidden="1">
      <c r="C426" s="89"/>
      <c r="D426" s="89"/>
      <c r="G426" s="56"/>
      <c r="H426" s="89"/>
      <c r="I426" s="89"/>
      <c r="J426" s="89"/>
      <c r="Q426" s="13" t="str">
        <f>IFERROR(__xludf.DUMMYFUNCTION("IF($A426="""","""",LEN(REGEXREPLACE($I426,"",\s?"","""")))"),"")</f>
        <v/>
      </c>
      <c r="S426" s="13"/>
      <c r="T426" s="13"/>
      <c r="U426" s="13"/>
      <c r="V426" s="13"/>
      <c r="W426" s="13"/>
      <c r="X426" s="13"/>
      <c r="Y426" s="13"/>
      <c r="Z426" s="13"/>
      <c r="AA426" s="13"/>
      <c r="AB426" s="13"/>
    </row>
    <row r="427" hidden="1">
      <c r="C427" s="89"/>
      <c r="D427" s="89"/>
      <c r="G427" s="56"/>
      <c r="H427" s="89"/>
      <c r="I427" s="89"/>
      <c r="J427" s="89"/>
      <c r="Q427" s="13" t="str">
        <f>IFERROR(__xludf.DUMMYFUNCTION("IF($A427="""","""",LEN(REGEXREPLACE($I427,"",\s?"","""")))"),"")</f>
        <v/>
      </c>
      <c r="S427" s="13"/>
      <c r="T427" s="13"/>
      <c r="U427" s="13"/>
      <c r="V427" s="13"/>
      <c r="W427" s="13"/>
      <c r="X427" s="13"/>
      <c r="Y427" s="13"/>
      <c r="Z427" s="13"/>
      <c r="AA427" s="13"/>
      <c r="AB427" s="13"/>
    </row>
    <row r="428" hidden="1">
      <c r="C428" s="89"/>
      <c r="D428" s="89"/>
      <c r="G428" s="56"/>
      <c r="H428" s="89"/>
      <c r="I428" s="89"/>
      <c r="J428" s="89"/>
      <c r="Q428" s="13" t="str">
        <f>IFERROR(__xludf.DUMMYFUNCTION("IF($A428="""","""",LEN(REGEXREPLACE($I428,"",\s?"","""")))"),"")</f>
        <v/>
      </c>
      <c r="S428" s="13"/>
      <c r="T428" s="13"/>
      <c r="U428" s="13"/>
      <c r="V428" s="13"/>
      <c r="W428" s="13"/>
      <c r="X428" s="13"/>
      <c r="Y428" s="13"/>
      <c r="Z428" s="13"/>
      <c r="AA428" s="13"/>
      <c r="AB428" s="13"/>
    </row>
    <row r="429" hidden="1">
      <c r="C429" s="89"/>
      <c r="D429" s="89"/>
      <c r="G429" s="56"/>
      <c r="H429" s="89"/>
      <c r="I429" s="89"/>
      <c r="J429" s="89"/>
      <c r="Q429" s="13" t="str">
        <f>IFERROR(__xludf.DUMMYFUNCTION("IF($A429="""","""",LEN(REGEXREPLACE($I429,"",\s?"","""")))"),"")</f>
        <v/>
      </c>
      <c r="S429" s="13"/>
      <c r="T429" s="13"/>
      <c r="U429" s="13"/>
      <c r="V429" s="13"/>
      <c r="W429" s="13"/>
      <c r="X429" s="13"/>
      <c r="Y429" s="13"/>
      <c r="Z429" s="13"/>
      <c r="AA429" s="13"/>
      <c r="AB429" s="13"/>
    </row>
    <row r="430" hidden="1">
      <c r="C430" s="89"/>
      <c r="D430" s="89"/>
      <c r="G430" s="56"/>
      <c r="H430" s="89"/>
      <c r="I430" s="89"/>
      <c r="J430" s="89"/>
      <c r="Q430" s="13" t="str">
        <f>IFERROR(__xludf.DUMMYFUNCTION("IF($A430="""","""",LEN(REGEXREPLACE($I430,"",\s?"","""")))"),"")</f>
        <v/>
      </c>
      <c r="S430" s="13"/>
      <c r="T430" s="13"/>
      <c r="U430" s="13"/>
      <c r="V430" s="13"/>
      <c r="W430" s="13"/>
      <c r="X430" s="13"/>
      <c r="Y430" s="13"/>
      <c r="Z430" s="13"/>
      <c r="AA430" s="13"/>
      <c r="AB430" s="13"/>
    </row>
    <row r="431" hidden="1">
      <c r="C431" s="89"/>
      <c r="D431" s="89"/>
      <c r="G431" s="56"/>
      <c r="H431" s="89"/>
      <c r="I431" s="89"/>
      <c r="J431" s="89"/>
      <c r="Q431" s="13" t="str">
        <f>IFERROR(__xludf.DUMMYFUNCTION("IF($A431="""","""",LEN(REGEXREPLACE($I431,"",\s?"","""")))"),"")</f>
        <v/>
      </c>
      <c r="S431" s="13"/>
      <c r="T431" s="13"/>
      <c r="U431" s="13"/>
      <c r="V431" s="13"/>
      <c r="W431" s="13"/>
      <c r="X431" s="13"/>
      <c r="Y431" s="13"/>
      <c r="Z431" s="13"/>
      <c r="AA431" s="13"/>
      <c r="AB431" s="13"/>
    </row>
    <row r="432" hidden="1">
      <c r="C432" s="89"/>
      <c r="D432" s="89"/>
      <c r="G432" s="56"/>
      <c r="H432" s="89"/>
      <c r="I432" s="89"/>
      <c r="J432" s="89"/>
      <c r="Q432" s="13" t="str">
        <f>IFERROR(__xludf.DUMMYFUNCTION("IF($A432="""","""",LEN(REGEXREPLACE($I432,"",\s?"","""")))"),"")</f>
        <v/>
      </c>
      <c r="S432" s="13"/>
      <c r="T432" s="13"/>
      <c r="U432" s="13"/>
      <c r="V432" s="13"/>
      <c r="W432" s="13"/>
      <c r="X432" s="13"/>
      <c r="Y432" s="13"/>
      <c r="Z432" s="13"/>
      <c r="AA432" s="13"/>
      <c r="AB432" s="13"/>
    </row>
    <row r="433" hidden="1">
      <c r="C433" s="89"/>
      <c r="D433" s="89"/>
      <c r="G433" s="56"/>
      <c r="H433" s="89"/>
      <c r="I433" s="89"/>
      <c r="J433" s="89"/>
      <c r="Q433" s="13" t="str">
        <f>IFERROR(__xludf.DUMMYFUNCTION("IF($A433="""","""",LEN(REGEXREPLACE($I433,"",\s?"","""")))"),"")</f>
        <v/>
      </c>
      <c r="S433" s="13"/>
      <c r="T433" s="13"/>
      <c r="U433" s="13"/>
      <c r="V433" s="13"/>
      <c r="W433" s="13"/>
      <c r="X433" s="13"/>
      <c r="Y433" s="13"/>
      <c r="Z433" s="13"/>
      <c r="AA433" s="13"/>
      <c r="AB433" s="13"/>
    </row>
    <row r="434" hidden="1">
      <c r="C434" s="89"/>
      <c r="D434" s="89"/>
      <c r="G434" s="56"/>
      <c r="H434" s="89"/>
      <c r="I434" s="89"/>
      <c r="J434" s="89"/>
      <c r="Q434" s="13" t="str">
        <f>IFERROR(__xludf.DUMMYFUNCTION("IF($A434="""","""",LEN(REGEXREPLACE($I434,"",\s?"","""")))"),"")</f>
        <v/>
      </c>
      <c r="S434" s="13"/>
      <c r="T434" s="13"/>
      <c r="U434" s="13"/>
      <c r="V434" s="13"/>
      <c r="W434" s="13"/>
      <c r="X434" s="13"/>
      <c r="Y434" s="13"/>
      <c r="Z434" s="13"/>
      <c r="AA434" s="13"/>
      <c r="AB434" s="13"/>
    </row>
    <row r="435" hidden="1">
      <c r="C435" s="89"/>
      <c r="D435" s="89"/>
      <c r="G435" s="56"/>
      <c r="H435" s="89"/>
      <c r="I435" s="89"/>
      <c r="J435" s="89"/>
      <c r="Q435" s="13" t="str">
        <f>IFERROR(__xludf.DUMMYFUNCTION("IF($A435="""","""",LEN(REGEXREPLACE($I435,"",\s?"","""")))"),"")</f>
        <v/>
      </c>
      <c r="S435" s="13"/>
      <c r="T435" s="13"/>
      <c r="U435" s="13"/>
      <c r="V435" s="13"/>
      <c r="W435" s="13"/>
      <c r="X435" s="13"/>
      <c r="Y435" s="13"/>
      <c r="Z435" s="13"/>
      <c r="AA435" s="13"/>
      <c r="AB435" s="13"/>
    </row>
    <row r="436" hidden="1">
      <c r="C436" s="89"/>
      <c r="D436" s="89"/>
      <c r="G436" s="56"/>
      <c r="H436" s="89"/>
      <c r="I436" s="89"/>
      <c r="J436" s="89"/>
      <c r="Q436" s="13" t="str">
        <f>IFERROR(__xludf.DUMMYFUNCTION("IF($A436="""","""",LEN(REGEXREPLACE($I436,"",\s?"","""")))"),"")</f>
        <v/>
      </c>
      <c r="S436" s="13"/>
      <c r="T436" s="13"/>
      <c r="U436" s="13"/>
      <c r="V436" s="13"/>
      <c r="W436" s="13"/>
      <c r="X436" s="13"/>
      <c r="Y436" s="13"/>
      <c r="Z436" s="13"/>
      <c r="AA436" s="13"/>
      <c r="AB436" s="13"/>
    </row>
    <row r="437" hidden="1">
      <c r="C437" s="89"/>
      <c r="D437" s="89"/>
      <c r="G437" s="56"/>
      <c r="H437" s="89"/>
      <c r="I437" s="89"/>
      <c r="J437" s="89"/>
      <c r="Q437" s="13" t="str">
        <f>IFERROR(__xludf.DUMMYFUNCTION("IF($A437="""","""",LEN(REGEXREPLACE($I437,"",\s?"","""")))"),"")</f>
        <v/>
      </c>
      <c r="S437" s="13"/>
      <c r="T437" s="13"/>
      <c r="U437" s="13"/>
      <c r="V437" s="13"/>
      <c r="W437" s="13"/>
      <c r="X437" s="13"/>
      <c r="Y437" s="13"/>
      <c r="Z437" s="13"/>
      <c r="AA437" s="13"/>
      <c r="AB437" s="13"/>
    </row>
    <row r="438" hidden="1">
      <c r="C438" s="89"/>
      <c r="D438" s="89"/>
      <c r="G438" s="56"/>
      <c r="H438" s="89"/>
      <c r="I438" s="89"/>
      <c r="J438" s="89"/>
      <c r="Q438" s="13" t="str">
        <f>IFERROR(__xludf.DUMMYFUNCTION("IF($A438="""","""",LEN(REGEXREPLACE($I438,"",\s?"","""")))"),"")</f>
        <v/>
      </c>
      <c r="S438" s="13"/>
      <c r="T438" s="13"/>
      <c r="U438" s="13"/>
      <c r="V438" s="13"/>
      <c r="W438" s="13"/>
      <c r="X438" s="13"/>
      <c r="Y438" s="13"/>
      <c r="Z438" s="13"/>
      <c r="AA438" s="13"/>
      <c r="AB438" s="13"/>
    </row>
    <row r="439" hidden="1">
      <c r="C439" s="89"/>
      <c r="D439" s="89"/>
      <c r="G439" s="56"/>
      <c r="H439" s="89"/>
      <c r="I439" s="89"/>
      <c r="J439" s="89"/>
      <c r="Q439" s="13" t="str">
        <f>IFERROR(__xludf.DUMMYFUNCTION("IF($A439="""","""",LEN(REGEXREPLACE($I439,"",\s?"","""")))"),"")</f>
        <v/>
      </c>
      <c r="S439" s="13"/>
      <c r="T439" s="13"/>
      <c r="U439" s="13"/>
      <c r="V439" s="13"/>
      <c r="W439" s="13"/>
      <c r="X439" s="13"/>
      <c r="Y439" s="13"/>
      <c r="Z439" s="13"/>
      <c r="AA439" s="13"/>
      <c r="AB439" s="13"/>
    </row>
    <row r="440" hidden="1">
      <c r="C440" s="89"/>
      <c r="D440" s="89"/>
      <c r="G440" s="56"/>
      <c r="H440" s="89"/>
      <c r="I440" s="89"/>
      <c r="J440" s="89"/>
      <c r="Q440" s="13" t="str">
        <f>IFERROR(__xludf.DUMMYFUNCTION("IF($A440="""","""",LEN(REGEXREPLACE($I440,"",\s?"","""")))"),"")</f>
        <v/>
      </c>
      <c r="S440" s="13"/>
      <c r="T440" s="13"/>
      <c r="U440" s="13"/>
      <c r="V440" s="13"/>
      <c r="W440" s="13"/>
      <c r="X440" s="13"/>
      <c r="Y440" s="13"/>
      <c r="Z440" s="13"/>
      <c r="AA440" s="13"/>
      <c r="AB440" s="13"/>
    </row>
    <row r="441" hidden="1">
      <c r="C441" s="89"/>
      <c r="D441" s="89"/>
      <c r="G441" s="56"/>
      <c r="H441" s="89"/>
      <c r="I441" s="89"/>
      <c r="J441" s="89"/>
      <c r="Q441" s="13" t="str">
        <f>IFERROR(__xludf.DUMMYFUNCTION("IF($A441="""","""",LEN(REGEXREPLACE($I441,"",\s?"","""")))"),"")</f>
        <v/>
      </c>
      <c r="S441" s="13"/>
      <c r="T441" s="13"/>
      <c r="U441" s="13"/>
      <c r="V441" s="13"/>
      <c r="W441" s="13"/>
      <c r="X441" s="13"/>
      <c r="Y441" s="13"/>
      <c r="Z441" s="13"/>
      <c r="AA441" s="13"/>
      <c r="AB441" s="13"/>
    </row>
    <row r="442" hidden="1">
      <c r="C442" s="89"/>
      <c r="D442" s="89"/>
      <c r="G442" s="56"/>
      <c r="H442" s="89"/>
      <c r="I442" s="89"/>
      <c r="J442" s="89"/>
      <c r="Q442" s="13" t="str">
        <f>IFERROR(__xludf.DUMMYFUNCTION("IF($A442="""","""",LEN(REGEXREPLACE($I442,"",\s?"","""")))"),"")</f>
        <v/>
      </c>
      <c r="S442" s="13"/>
      <c r="T442" s="13"/>
      <c r="U442" s="13"/>
      <c r="V442" s="13"/>
      <c r="W442" s="13"/>
      <c r="X442" s="13"/>
      <c r="Y442" s="13"/>
      <c r="Z442" s="13"/>
      <c r="AA442" s="13"/>
      <c r="AB442" s="13"/>
    </row>
    <row r="443" hidden="1">
      <c r="C443" s="89"/>
      <c r="D443" s="89"/>
      <c r="G443" s="56"/>
      <c r="H443" s="89"/>
      <c r="I443" s="89"/>
      <c r="J443" s="89"/>
      <c r="Q443" s="13" t="str">
        <f>IFERROR(__xludf.DUMMYFUNCTION("IF($A443="""","""",LEN(REGEXREPLACE($I443,"",\s?"","""")))"),"")</f>
        <v/>
      </c>
      <c r="S443" s="13"/>
      <c r="T443" s="13"/>
      <c r="U443" s="13"/>
      <c r="V443" s="13"/>
      <c r="W443" s="13"/>
      <c r="X443" s="13"/>
      <c r="Y443" s="13"/>
      <c r="Z443" s="13"/>
      <c r="AA443" s="13"/>
      <c r="AB443" s="13"/>
    </row>
    <row r="444" hidden="1">
      <c r="C444" s="89"/>
      <c r="D444" s="89"/>
      <c r="G444" s="56"/>
      <c r="H444" s="89"/>
      <c r="I444" s="89"/>
      <c r="J444" s="89"/>
      <c r="Q444" s="13" t="str">
        <f>IFERROR(__xludf.DUMMYFUNCTION("IF($A444="""","""",LEN(REGEXREPLACE($I444,"",\s?"","""")))"),"")</f>
        <v/>
      </c>
      <c r="S444" s="13"/>
      <c r="T444" s="13"/>
      <c r="U444" s="13"/>
      <c r="V444" s="13"/>
      <c r="W444" s="13"/>
      <c r="X444" s="13"/>
      <c r="Y444" s="13"/>
      <c r="Z444" s="13"/>
      <c r="AA444" s="13"/>
      <c r="AB444" s="13"/>
    </row>
    <row r="445" hidden="1">
      <c r="C445" s="89"/>
      <c r="D445" s="89"/>
      <c r="G445" s="56"/>
      <c r="H445" s="89"/>
      <c r="I445" s="89"/>
      <c r="J445" s="89"/>
      <c r="Q445" s="13" t="str">
        <f>IFERROR(__xludf.DUMMYFUNCTION("IF($A445="""","""",LEN(REGEXREPLACE($I445,"",\s?"","""")))"),"")</f>
        <v/>
      </c>
      <c r="S445" s="13"/>
      <c r="T445" s="13"/>
      <c r="U445" s="13"/>
      <c r="V445" s="13"/>
      <c r="W445" s="13"/>
      <c r="X445" s="13"/>
      <c r="Y445" s="13"/>
      <c r="Z445" s="13"/>
      <c r="AA445" s="13"/>
      <c r="AB445" s="13"/>
    </row>
    <row r="446" hidden="1">
      <c r="C446" s="89"/>
      <c r="D446" s="89"/>
      <c r="G446" s="56"/>
      <c r="H446" s="89"/>
      <c r="I446" s="89"/>
      <c r="J446" s="89"/>
      <c r="Q446" s="13" t="str">
        <f>IFERROR(__xludf.DUMMYFUNCTION("IF($A446="""","""",LEN(REGEXREPLACE($I446,"",\s?"","""")))"),"")</f>
        <v/>
      </c>
      <c r="S446" s="13"/>
      <c r="T446" s="13"/>
      <c r="U446" s="13"/>
      <c r="V446" s="13"/>
      <c r="W446" s="13"/>
      <c r="X446" s="13"/>
      <c r="Y446" s="13"/>
      <c r="Z446" s="13"/>
      <c r="AA446" s="13"/>
      <c r="AB446" s="13"/>
    </row>
    <row r="447" hidden="1">
      <c r="C447" s="89"/>
      <c r="D447" s="89"/>
      <c r="G447" s="56"/>
      <c r="H447" s="89"/>
      <c r="I447" s="89"/>
      <c r="J447" s="89"/>
      <c r="Q447" s="13" t="str">
        <f>IFERROR(__xludf.DUMMYFUNCTION("IF($A447="""","""",LEN(REGEXREPLACE($I447,"",\s?"","""")))"),"")</f>
        <v/>
      </c>
      <c r="S447" s="13"/>
      <c r="T447" s="13"/>
      <c r="U447" s="13"/>
      <c r="V447" s="13"/>
      <c r="W447" s="13"/>
      <c r="X447" s="13"/>
      <c r="Y447" s="13"/>
      <c r="Z447" s="13"/>
      <c r="AA447" s="13"/>
      <c r="AB447" s="13"/>
    </row>
    <row r="448" hidden="1">
      <c r="C448" s="89"/>
      <c r="D448" s="89"/>
      <c r="G448" s="56"/>
      <c r="H448" s="89"/>
      <c r="I448" s="89"/>
      <c r="J448" s="89"/>
      <c r="Q448" s="13" t="str">
        <f>IFERROR(__xludf.DUMMYFUNCTION("IF($A448="""","""",LEN(REGEXREPLACE($I448,"",\s?"","""")))"),"")</f>
        <v/>
      </c>
      <c r="S448" s="13"/>
      <c r="T448" s="13"/>
      <c r="U448" s="13"/>
      <c r="V448" s="13"/>
      <c r="W448" s="13"/>
      <c r="X448" s="13"/>
      <c r="Y448" s="13"/>
      <c r="Z448" s="13"/>
      <c r="AA448" s="13"/>
      <c r="AB448" s="13"/>
    </row>
    <row r="449" hidden="1">
      <c r="C449" s="89"/>
      <c r="D449" s="89"/>
      <c r="G449" s="56"/>
      <c r="H449" s="89"/>
      <c r="I449" s="89"/>
      <c r="J449" s="89"/>
      <c r="Q449" s="13" t="str">
        <f>IFERROR(__xludf.DUMMYFUNCTION("IF($A449="""","""",LEN(REGEXREPLACE($I449,"",\s?"","""")))"),"")</f>
        <v/>
      </c>
      <c r="S449" s="13"/>
      <c r="T449" s="13"/>
      <c r="U449" s="13"/>
      <c r="V449" s="13"/>
      <c r="W449" s="13"/>
      <c r="X449" s="13"/>
      <c r="Y449" s="13"/>
      <c r="Z449" s="13"/>
      <c r="AA449" s="13"/>
      <c r="AB449" s="13"/>
    </row>
    <row r="450" hidden="1">
      <c r="C450" s="89"/>
      <c r="D450" s="89"/>
      <c r="G450" s="56"/>
      <c r="H450" s="89"/>
      <c r="I450" s="89"/>
      <c r="J450" s="89"/>
      <c r="Q450" s="13" t="str">
        <f>IFERROR(__xludf.DUMMYFUNCTION("IF($A450="""","""",LEN(REGEXREPLACE($I450,"",\s?"","""")))"),"")</f>
        <v/>
      </c>
      <c r="S450" s="13"/>
      <c r="T450" s="13"/>
      <c r="U450" s="13"/>
      <c r="V450" s="13"/>
      <c r="W450" s="13"/>
      <c r="X450" s="13"/>
      <c r="Y450" s="13"/>
      <c r="Z450" s="13"/>
      <c r="AA450" s="13"/>
      <c r="AB450" s="13"/>
    </row>
    <row r="451" hidden="1">
      <c r="C451" s="89"/>
      <c r="D451" s="89"/>
      <c r="G451" s="56"/>
      <c r="H451" s="89"/>
      <c r="I451" s="89"/>
      <c r="J451" s="89"/>
      <c r="Q451" s="13" t="str">
        <f>IFERROR(__xludf.DUMMYFUNCTION("IF($A451="""","""",LEN(REGEXREPLACE($I451,"",\s?"","""")))"),"")</f>
        <v/>
      </c>
      <c r="S451" s="13"/>
      <c r="T451" s="13"/>
      <c r="U451" s="13"/>
      <c r="V451" s="13"/>
      <c r="W451" s="13"/>
      <c r="X451" s="13"/>
      <c r="Y451" s="13"/>
      <c r="Z451" s="13"/>
      <c r="AA451" s="13"/>
      <c r="AB451" s="13"/>
    </row>
    <row r="452" hidden="1">
      <c r="C452" s="89"/>
      <c r="D452" s="89"/>
      <c r="G452" s="56"/>
      <c r="H452" s="89"/>
      <c r="I452" s="89"/>
      <c r="J452" s="89"/>
      <c r="Q452" s="13" t="str">
        <f>IFERROR(__xludf.DUMMYFUNCTION("IF($A452="""","""",LEN(REGEXREPLACE($I452,"",\s?"","""")))"),"")</f>
        <v/>
      </c>
      <c r="S452" s="13"/>
      <c r="T452" s="13"/>
      <c r="U452" s="13"/>
      <c r="V452" s="13"/>
      <c r="W452" s="13"/>
      <c r="X452" s="13"/>
      <c r="Y452" s="13"/>
      <c r="Z452" s="13"/>
      <c r="AA452" s="13"/>
      <c r="AB452" s="13"/>
    </row>
    <row r="453" hidden="1">
      <c r="C453" s="89"/>
      <c r="D453" s="89"/>
      <c r="G453" s="56"/>
      <c r="H453" s="89"/>
      <c r="I453" s="89"/>
      <c r="J453" s="89"/>
      <c r="Q453" s="13" t="str">
        <f>IFERROR(__xludf.DUMMYFUNCTION("IF($A453="""","""",LEN(REGEXREPLACE($I453,"",\s?"","""")))"),"")</f>
        <v/>
      </c>
      <c r="S453" s="13"/>
      <c r="T453" s="13"/>
      <c r="U453" s="13"/>
      <c r="V453" s="13"/>
      <c r="W453" s="13"/>
      <c r="X453" s="13"/>
      <c r="Y453" s="13"/>
      <c r="Z453" s="13"/>
      <c r="AA453" s="13"/>
      <c r="AB453" s="13"/>
    </row>
    <row r="454" hidden="1">
      <c r="C454" s="89"/>
      <c r="D454" s="89"/>
      <c r="G454" s="56"/>
      <c r="H454" s="89"/>
      <c r="I454" s="89"/>
      <c r="J454" s="89"/>
      <c r="Q454" s="13" t="str">
        <f>IFERROR(__xludf.DUMMYFUNCTION("IF($A454="""","""",LEN(REGEXREPLACE($I454,"",\s?"","""")))"),"")</f>
        <v/>
      </c>
      <c r="S454" s="13"/>
      <c r="T454" s="13"/>
      <c r="U454" s="13"/>
      <c r="V454" s="13"/>
      <c r="W454" s="13"/>
      <c r="X454" s="13"/>
      <c r="Y454" s="13"/>
      <c r="Z454" s="13"/>
      <c r="AA454" s="13"/>
      <c r="AB454" s="13"/>
    </row>
    <row r="455" hidden="1">
      <c r="C455" s="89"/>
      <c r="D455" s="89"/>
      <c r="G455" s="56"/>
      <c r="H455" s="89"/>
      <c r="I455" s="89"/>
      <c r="J455" s="89"/>
      <c r="Q455" s="13" t="str">
        <f>IFERROR(__xludf.DUMMYFUNCTION("IF($A455="""","""",LEN(REGEXREPLACE($I455,"",\s?"","""")))"),"")</f>
        <v/>
      </c>
      <c r="S455" s="13"/>
      <c r="T455" s="13"/>
      <c r="U455" s="13"/>
      <c r="V455" s="13"/>
      <c r="W455" s="13"/>
      <c r="X455" s="13"/>
      <c r="Y455" s="13"/>
      <c r="Z455" s="13"/>
      <c r="AA455" s="13"/>
      <c r="AB455" s="13"/>
    </row>
    <row r="456" hidden="1">
      <c r="C456" s="89"/>
      <c r="D456" s="89"/>
      <c r="G456" s="56"/>
      <c r="H456" s="89"/>
      <c r="I456" s="89"/>
      <c r="J456" s="89"/>
      <c r="Q456" s="13" t="str">
        <f>IFERROR(__xludf.DUMMYFUNCTION("IF($A456="""","""",LEN(REGEXREPLACE($I456,"",\s?"","""")))"),"")</f>
        <v/>
      </c>
      <c r="S456" s="13"/>
      <c r="T456" s="13"/>
      <c r="U456" s="13"/>
      <c r="V456" s="13"/>
      <c r="W456" s="13"/>
      <c r="X456" s="13"/>
      <c r="Y456" s="13"/>
      <c r="Z456" s="13"/>
      <c r="AA456" s="13"/>
      <c r="AB456" s="13"/>
    </row>
    <row r="457" hidden="1">
      <c r="C457" s="89"/>
      <c r="D457" s="89"/>
      <c r="G457" s="56"/>
      <c r="H457" s="89"/>
      <c r="I457" s="89"/>
      <c r="J457" s="89"/>
      <c r="Q457" s="13" t="str">
        <f>IFERROR(__xludf.DUMMYFUNCTION("IF($A457="""","""",LEN(REGEXREPLACE($I457,"",\s?"","""")))"),"")</f>
        <v/>
      </c>
      <c r="S457" s="13"/>
      <c r="T457" s="13"/>
      <c r="U457" s="13"/>
      <c r="V457" s="13"/>
      <c r="W457" s="13"/>
      <c r="X457" s="13"/>
      <c r="Y457" s="13"/>
      <c r="Z457" s="13"/>
      <c r="AA457" s="13"/>
      <c r="AB457" s="13"/>
    </row>
    <row r="458" hidden="1">
      <c r="C458" s="89"/>
      <c r="D458" s="89"/>
      <c r="G458" s="56"/>
      <c r="H458" s="89"/>
      <c r="I458" s="89"/>
      <c r="J458" s="89"/>
      <c r="Q458" s="13" t="str">
        <f>IFERROR(__xludf.DUMMYFUNCTION("IF($A458="""","""",LEN(REGEXREPLACE($I458,"",\s?"","""")))"),"")</f>
        <v/>
      </c>
      <c r="S458" s="13"/>
      <c r="T458" s="13"/>
      <c r="U458" s="13"/>
      <c r="V458" s="13"/>
      <c r="W458" s="13"/>
      <c r="X458" s="13"/>
      <c r="Y458" s="13"/>
      <c r="Z458" s="13"/>
      <c r="AA458" s="13"/>
      <c r="AB458" s="13"/>
    </row>
    <row r="459" hidden="1">
      <c r="C459" s="89"/>
      <c r="D459" s="89"/>
      <c r="G459" s="56"/>
      <c r="H459" s="89"/>
      <c r="I459" s="89"/>
      <c r="J459" s="89"/>
      <c r="Q459" s="13" t="str">
        <f>IFERROR(__xludf.DUMMYFUNCTION("IF($A459="""","""",LEN(REGEXREPLACE($I459,"",\s?"","""")))"),"")</f>
        <v/>
      </c>
      <c r="S459" s="13"/>
      <c r="T459" s="13"/>
      <c r="U459" s="13"/>
      <c r="V459" s="13"/>
      <c r="W459" s="13"/>
      <c r="X459" s="13"/>
      <c r="Y459" s="13"/>
      <c r="Z459" s="13"/>
      <c r="AA459" s="13"/>
      <c r="AB459" s="13"/>
    </row>
    <row r="460" hidden="1">
      <c r="C460" s="89"/>
      <c r="D460" s="89"/>
      <c r="G460" s="56"/>
      <c r="H460" s="89"/>
      <c r="I460" s="89"/>
      <c r="J460" s="89"/>
      <c r="Q460" s="13" t="str">
        <f>IFERROR(__xludf.DUMMYFUNCTION("IF($A460="""","""",LEN(REGEXREPLACE($I460,"",\s?"","""")))"),"")</f>
        <v/>
      </c>
      <c r="S460" s="13"/>
      <c r="T460" s="13"/>
      <c r="U460" s="13"/>
      <c r="V460" s="13"/>
      <c r="W460" s="13"/>
      <c r="X460" s="13"/>
      <c r="Y460" s="13"/>
      <c r="Z460" s="13"/>
      <c r="AA460" s="13"/>
      <c r="AB460" s="13"/>
    </row>
    <row r="461" hidden="1">
      <c r="C461" s="89"/>
      <c r="D461" s="89"/>
      <c r="G461" s="56"/>
      <c r="H461" s="89"/>
      <c r="I461" s="89"/>
      <c r="J461" s="89"/>
      <c r="Q461" s="13" t="str">
        <f>IFERROR(__xludf.DUMMYFUNCTION("IF($A461="""","""",LEN(REGEXREPLACE($I461,"",\s?"","""")))"),"")</f>
        <v/>
      </c>
      <c r="S461" s="13"/>
      <c r="T461" s="13"/>
      <c r="U461" s="13"/>
      <c r="V461" s="13"/>
      <c r="W461" s="13"/>
      <c r="X461" s="13"/>
      <c r="Y461" s="13"/>
      <c r="Z461" s="13"/>
      <c r="AA461" s="13"/>
      <c r="AB461" s="13"/>
    </row>
    <row r="462" hidden="1">
      <c r="C462" s="89"/>
      <c r="D462" s="89"/>
      <c r="G462" s="56"/>
      <c r="H462" s="89"/>
      <c r="I462" s="89"/>
      <c r="J462" s="89"/>
      <c r="Q462" s="13" t="str">
        <f>IFERROR(__xludf.DUMMYFUNCTION("IF($A462="""","""",LEN(REGEXREPLACE($I462,"",\s?"","""")))"),"")</f>
        <v/>
      </c>
      <c r="S462" s="13"/>
      <c r="T462" s="13"/>
      <c r="U462" s="13"/>
      <c r="V462" s="13"/>
      <c r="W462" s="13"/>
      <c r="X462" s="13"/>
      <c r="Y462" s="13"/>
      <c r="Z462" s="13"/>
      <c r="AA462" s="13"/>
      <c r="AB462" s="13"/>
    </row>
    <row r="463" hidden="1">
      <c r="C463" s="89"/>
      <c r="D463" s="89"/>
      <c r="G463" s="56"/>
      <c r="H463" s="89"/>
      <c r="I463" s="89"/>
      <c r="J463" s="89"/>
      <c r="Q463" s="13" t="str">
        <f>IFERROR(__xludf.DUMMYFUNCTION("IF($A463="""","""",LEN(REGEXREPLACE($I463,"",\s?"","""")))"),"")</f>
        <v/>
      </c>
      <c r="S463" s="13"/>
      <c r="T463" s="13"/>
      <c r="U463" s="13"/>
      <c r="V463" s="13"/>
      <c r="W463" s="13"/>
      <c r="X463" s="13"/>
      <c r="Y463" s="13"/>
      <c r="Z463" s="13"/>
      <c r="AA463" s="13"/>
      <c r="AB463" s="13"/>
    </row>
    <row r="464" hidden="1">
      <c r="C464" s="89"/>
      <c r="D464" s="89"/>
      <c r="G464" s="56"/>
      <c r="H464" s="89"/>
      <c r="I464" s="89"/>
      <c r="J464" s="89"/>
      <c r="Q464" s="13" t="str">
        <f>IFERROR(__xludf.DUMMYFUNCTION("IF($A464="""","""",LEN(REGEXREPLACE($I464,"",\s?"","""")))"),"")</f>
        <v/>
      </c>
      <c r="S464" s="13"/>
      <c r="T464" s="13"/>
      <c r="U464" s="13"/>
      <c r="V464" s="13"/>
      <c r="W464" s="13"/>
      <c r="X464" s="13"/>
      <c r="Y464" s="13"/>
      <c r="Z464" s="13"/>
      <c r="AA464" s="13"/>
      <c r="AB464" s="13"/>
    </row>
    <row r="465" hidden="1">
      <c r="C465" s="89"/>
      <c r="D465" s="89"/>
      <c r="G465" s="56"/>
      <c r="H465" s="89"/>
      <c r="I465" s="89"/>
      <c r="J465" s="89"/>
      <c r="Q465" s="13" t="str">
        <f>IFERROR(__xludf.DUMMYFUNCTION("IF($A465="""","""",LEN(REGEXREPLACE($I465,"",\s?"","""")))"),"")</f>
        <v/>
      </c>
      <c r="S465" s="13"/>
      <c r="T465" s="13"/>
      <c r="U465" s="13"/>
      <c r="V465" s="13"/>
      <c r="W465" s="13"/>
      <c r="X465" s="13"/>
      <c r="Y465" s="13"/>
      <c r="Z465" s="13"/>
      <c r="AA465" s="13"/>
      <c r="AB465" s="13"/>
    </row>
    <row r="466" hidden="1">
      <c r="C466" s="89"/>
      <c r="D466" s="89"/>
      <c r="G466" s="56"/>
      <c r="H466" s="89"/>
      <c r="I466" s="89"/>
      <c r="J466" s="89"/>
      <c r="Q466" s="13" t="str">
        <f>IFERROR(__xludf.DUMMYFUNCTION("IF($A466="""","""",LEN(REGEXREPLACE($I466,"",\s?"","""")))"),"")</f>
        <v/>
      </c>
      <c r="S466" s="13"/>
      <c r="T466" s="13"/>
      <c r="U466" s="13"/>
      <c r="V466" s="13"/>
      <c r="W466" s="13"/>
      <c r="X466" s="13"/>
      <c r="Y466" s="13"/>
      <c r="Z466" s="13"/>
      <c r="AA466" s="13"/>
      <c r="AB466" s="13"/>
    </row>
    <row r="467" hidden="1">
      <c r="C467" s="89"/>
      <c r="D467" s="89"/>
      <c r="G467" s="56"/>
      <c r="H467" s="89"/>
      <c r="I467" s="89"/>
      <c r="J467" s="89"/>
      <c r="Q467" s="13" t="str">
        <f>IFERROR(__xludf.DUMMYFUNCTION("IF($A467="""","""",LEN(REGEXREPLACE($I467,"",\s?"","""")))"),"")</f>
        <v/>
      </c>
      <c r="S467" s="13"/>
      <c r="T467" s="13"/>
      <c r="U467" s="13"/>
      <c r="V467" s="13"/>
      <c r="W467" s="13"/>
      <c r="X467" s="13"/>
      <c r="Y467" s="13"/>
      <c r="Z467" s="13"/>
      <c r="AA467" s="13"/>
      <c r="AB467" s="13"/>
    </row>
    <row r="468" hidden="1">
      <c r="C468" s="89"/>
      <c r="D468" s="89"/>
      <c r="G468" s="56"/>
      <c r="H468" s="89"/>
      <c r="I468" s="89"/>
      <c r="J468" s="89"/>
      <c r="Q468" s="13" t="str">
        <f>IFERROR(__xludf.DUMMYFUNCTION("IF($A468="""","""",LEN(REGEXREPLACE($I468,"",\s?"","""")))"),"")</f>
        <v/>
      </c>
      <c r="S468" s="13"/>
      <c r="T468" s="13"/>
      <c r="U468" s="13"/>
      <c r="V468" s="13"/>
      <c r="W468" s="13"/>
      <c r="X468" s="13"/>
      <c r="Y468" s="13"/>
      <c r="Z468" s="13"/>
      <c r="AA468" s="13"/>
      <c r="AB468" s="13"/>
    </row>
    <row r="469" hidden="1">
      <c r="C469" s="89"/>
      <c r="D469" s="89"/>
      <c r="G469" s="56"/>
      <c r="H469" s="89"/>
      <c r="I469" s="89"/>
      <c r="J469" s="89"/>
      <c r="Q469" s="13" t="str">
        <f>IFERROR(__xludf.DUMMYFUNCTION("IF($A469="""","""",LEN(REGEXREPLACE($I469,"",\s?"","""")))"),"")</f>
        <v/>
      </c>
      <c r="S469" s="13"/>
      <c r="T469" s="13"/>
      <c r="U469" s="13"/>
      <c r="V469" s="13"/>
      <c r="W469" s="13"/>
      <c r="X469" s="13"/>
      <c r="Y469" s="13"/>
      <c r="Z469" s="13"/>
      <c r="AA469" s="13"/>
      <c r="AB469" s="13"/>
    </row>
    <row r="470" hidden="1">
      <c r="C470" s="89"/>
      <c r="D470" s="89"/>
      <c r="G470" s="56"/>
      <c r="H470" s="89"/>
      <c r="I470" s="89"/>
      <c r="J470" s="89"/>
      <c r="Q470" s="13" t="str">
        <f>IFERROR(__xludf.DUMMYFUNCTION("IF($A470="""","""",LEN(REGEXREPLACE($I470,"",\s?"","""")))"),"")</f>
        <v/>
      </c>
      <c r="S470" s="13"/>
      <c r="T470" s="13"/>
      <c r="U470" s="13"/>
      <c r="V470" s="13"/>
      <c r="W470" s="13"/>
      <c r="X470" s="13"/>
      <c r="Y470" s="13"/>
      <c r="Z470" s="13"/>
      <c r="AA470" s="13"/>
      <c r="AB470" s="13"/>
    </row>
    <row r="471" hidden="1">
      <c r="C471" s="89"/>
      <c r="D471" s="89"/>
      <c r="G471" s="56"/>
      <c r="H471" s="89"/>
      <c r="I471" s="89"/>
      <c r="J471" s="89"/>
      <c r="Q471" s="13" t="str">
        <f>IFERROR(__xludf.DUMMYFUNCTION("IF($A471="""","""",LEN(REGEXREPLACE($I471,"",\s?"","""")))"),"")</f>
        <v/>
      </c>
      <c r="S471" s="13"/>
      <c r="T471" s="13"/>
      <c r="U471" s="13"/>
      <c r="V471" s="13"/>
      <c r="W471" s="13"/>
      <c r="X471" s="13"/>
      <c r="Y471" s="13"/>
      <c r="Z471" s="13"/>
      <c r="AA471" s="13"/>
      <c r="AB471" s="13"/>
    </row>
    <row r="472" hidden="1">
      <c r="C472" s="89"/>
      <c r="D472" s="89"/>
      <c r="G472" s="56"/>
      <c r="H472" s="89"/>
      <c r="I472" s="89"/>
      <c r="J472" s="89"/>
      <c r="Q472" s="13" t="str">
        <f>IFERROR(__xludf.DUMMYFUNCTION("IF($A472="""","""",LEN(REGEXREPLACE($I472,"",\s?"","""")))"),"")</f>
        <v/>
      </c>
      <c r="S472" s="13"/>
      <c r="T472" s="13"/>
      <c r="U472" s="13"/>
      <c r="V472" s="13"/>
      <c r="W472" s="13"/>
      <c r="X472" s="13"/>
      <c r="Y472" s="13"/>
      <c r="Z472" s="13"/>
      <c r="AA472" s="13"/>
      <c r="AB472" s="13"/>
    </row>
    <row r="473" hidden="1">
      <c r="C473" s="89"/>
      <c r="D473" s="89"/>
      <c r="G473" s="56"/>
      <c r="H473" s="89"/>
      <c r="I473" s="89"/>
      <c r="J473" s="89"/>
      <c r="Q473" s="13" t="str">
        <f>IFERROR(__xludf.DUMMYFUNCTION("IF($A473="""","""",LEN(REGEXREPLACE($I473,"",\s?"","""")))"),"")</f>
        <v/>
      </c>
      <c r="S473" s="13"/>
      <c r="T473" s="13"/>
      <c r="U473" s="13"/>
      <c r="V473" s="13"/>
      <c r="W473" s="13"/>
      <c r="X473" s="13"/>
      <c r="Y473" s="13"/>
      <c r="Z473" s="13"/>
      <c r="AA473" s="13"/>
      <c r="AB473" s="13"/>
    </row>
    <row r="474" hidden="1">
      <c r="C474" s="89"/>
      <c r="D474" s="89"/>
      <c r="G474" s="56"/>
      <c r="H474" s="89"/>
      <c r="I474" s="89"/>
      <c r="J474" s="89"/>
      <c r="Q474" s="13" t="str">
        <f>IFERROR(__xludf.DUMMYFUNCTION("IF($A474="""","""",LEN(REGEXREPLACE($I474,"",\s?"","""")))"),"")</f>
        <v/>
      </c>
      <c r="S474" s="13"/>
      <c r="T474" s="13"/>
      <c r="U474" s="13"/>
      <c r="V474" s="13"/>
      <c r="W474" s="13"/>
      <c r="X474" s="13"/>
      <c r="Y474" s="13"/>
      <c r="Z474" s="13"/>
      <c r="AA474" s="13"/>
      <c r="AB474" s="13"/>
    </row>
    <row r="475" hidden="1">
      <c r="C475" s="89"/>
      <c r="D475" s="89"/>
      <c r="G475" s="56"/>
      <c r="H475" s="89"/>
      <c r="I475" s="89"/>
      <c r="J475" s="89"/>
      <c r="Q475" s="13" t="str">
        <f>IFERROR(__xludf.DUMMYFUNCTION("IF($A475="""","""",LEN(REGEXREPLACE($I475,"",\s?"","""")))"),"")</f>
        <v/>
      </c>
      <c r="S475" s="13"/>
      <c r="T475" s="13"/>
      <c r="U475" s="13"/>
      <c r="V475" s="13"/>
      <c r="W475" s="13"/>
      <c r="X475" s="13"/>
      <c r="Y475" s="13"/>
      <c r="Z475" s="13"/>
      <c r="AA475" s="13"/>
      <c r="AB475" s="13"/>
    </row>
    <row r="476" hidden="1">
      <c r="C476" s="89"/>
      <c r="D476" s="89"/>
      <c r="G476" s="56"/>
      <c r="H476" s="89"/>
      <c r="I476" s="89"/>
      <c r="J476" s="89"/>
      <c r="Q476" s="13" t="str">
        <f>IFERROR(__xludf.DUMMYFUNCTION("IF($A476="""","""",LEN(REGEXREPLACE($I476,"",\s?"","""")))"),"")</f>
        <v/>
      </c>
      <c r="S476" s="13"/>
      <c r="T476" s="13"/>
      <c r="U476" s="13"/>
      <c r="V476" s="13"/>
      <c r="W476" s="13"/>
      <c r="X476" s="13"/>
      <c r="Y476" s="13"/>
      <c r="Z476" s="13"/>
      <c r="AA476" s="13"/>
      <c r="AB476" s="13"/>
    </row>
    <row r="477" hidden="1">
      <c r="C477" s="89"/>
      <c r="D477" s="89"/>
      <c r="G477" s="56"/>
      <c r="H477" s="89"/>
      <c r="I477" s="89"/>
      <c r="J477" s="89"/>
      <c r="Q477" s="13" t="str">
        <f>IFERROR(__xludf.DUMMYFUNCTION("IF($A477="""","""",LEN(REGEXREPLACE($I477,"",\s?"","""")))"),"")</f>
        <v/>
      </c>
      <c r="S477" s="13"/>
      <c r="T477" s="13"/>
      <c r="U477" s="13"/>
      <c r="V477" s="13"/>
      <c r="W477" s="13"/>
      <c r="X477" s="13"/>
      <c r="Y477" s="13"/>
      <c r="Z477" s="13"/>
      <c r="AA477" s="13"/>
      <c r="AB477" s="13"/>
    </row>
    <row r="478" hidden="1">
      <c r="C478" s="89"/>
      <c r="D478" s="89"/>
      <c r="G478" s="56"/>
      <c r="H478" s="89"/>
      <c r="I478" s="89"/>
      <c r="J478" s="89"/>
      <c r="Q478" s="13" t="str">
        <f>IFERROR(__xludf.DUMMYFUNCTION("IF($A478="""","""",LEN(REGEXREPLACE($I478,"",\s?"","""")))"),"")</f>
        <v/>
      </c>
      <c r="S478" s="13"/>
      <c r="T478" s="13"/>
      <c r="U478" s="13"/>
      <c r="V478" s="13"/>
      <c r="W478" s="13"/>
      <c r="X478" s="13"/>
      <c r="Y478" s="13"/>
      <c r="Z478" s="13"/>
      <c r="AA478" s="13"/>
      <c r="AB478" s="13"/>
    </row>
    <row r="479" hidden="1">
      <c r="C479" s="89"/>
      <c r="D479" s="89"/>
      <c r="G479" s="56"/>
      <c r="H479" s="89"/>
      <c r="I479" s="89"/>
      <c r="J479" s="89"/>
      <c r="Q479" s="13" t="str">
        <f>IFERROR(__xludf.DUMMYFUNCTION("IF($A479="""","""",LEN(REGEXREPLACE($I479,"",\s?"","""")))"),"")</f>
        <v/>
      </c>
      <c r="S479" s="13"/>
      <c r="T479" s="13"/>
      <c r="U479" s="13"/>
      <c r="V479" s="13"/>
      <c r="W479" s="13"/>
      <c r="X479" s="13"/>
      <c r="Y479" s="13"/>
      <c r="Z479" s="13"/>
      <c r="AA479" s="13"/>
      <c r="AB479" s="13"/>
    </row>
    <row r="480" hidden="1">
      <c r="C480" s="89"/>
      <c r="D480" s="89"/>
      <c r="G480" s="56"/>
      <c r="H480" s="89"/>
      <c r="I480" s="89"/>
      <c r="J480" s="89"/>
      <c r="Q480" s="13" t="str">
        <f>IFERROR(__xludf.DUMMYFUNCTION("IF($A480="""","""",LEN(REGEXREPLACE($I480,"",\s?"","""")))"),"")</f>
        <v/>
      </c>
      <c r="S480" s="13"/>
      <c r="T480" s="13"/>
      <c r="U480" s="13"/>
      <c r="V480" s="13"/>
      <c r="W480" s="13"/>
      <c r="X480" s="13"/>
      <c r="Y480" s="13"/>
      <c r="Z480" s="13"/>
      <c r="AA480" s="13"/>
      <c r="AB480" s="13"/>
    </row>
    <row r="481" hidden="1">
      <c r="C481" s="89"/>
      <c r="D481" s="89"/>
      <c r="G481" s="56"/>
      <c r="H481" s="89"/>
      <c r="I481" s="89"/>
      <c r="J481" s="89"/>
      <c r="Q481" s="13" t="str">
        <f>IFERROR(__xludf.DUMMYFUNCTION("IF($A481="""","""",LEN(REGEXREPLACE($I481,"",\s?"","""")))"),"")</f>
        <v/>
      </c>
      <c r="S481" s="13"/>
      <c r="T481" s="13"/>
      <c r="U481" s="13"/>
      <c r="V481" s="13"/>
      <c r="W481" s="13"/>
      <c r="X481" s="13"/>
      <c r="Y481" s="13"/>
      <c r="Z481" s="13"/>
      <c r="AA481" s="13"/>
      <c r="AB481" s="13"/>
    </row>
    <row r="482" hidden="1">
      <c r="C482" s="89"/>
      <c r="D482" s="89"/>
      <c r="G482" s="56"/>
      <c r="H482" s="89"/>
      <c r="I482" s="89"/>
      <c r="J482" s="89"/>
      <c r="Q482" s="13" t="str">
        <f>IFERROR(__xludf.DUMMYFUNCTION("IF($A482="""","""",LEN(REGEXREPLACE($I482,"",\s?"","""")))"),"")</f>
        <v/>
      </c>
      <c r="S482" s="13"/>
      <c r="T482" s="13"/>
      <c r="U482" s="13"/>
      <c r="V482" s="13"/>
      <c r="W482" s="13"/>
      <c r="X482" s="13"/>
      <c r="Y482" s="13"/>
      <c r="Z482" s="13"/>
      <c r="AA482" s="13"/>
      <c r="AB482" s="13"/>
    </row>
    <row r="483" hidden="1">
      <c r="C483" s="89"/>
      <c r="D483" s="89"/>
      <c r="G483" s="56"/>
      <c r="H483" s="89"/>
      <c r="I483" s="89"/>
      <c r="J483" s="89"/>
      <c r="Q483" s="13" t="str">
        <f>IFERROR(__xludf.DUMMYFUNCTION("IF($A483="""","""",LEN(REGEXREPLACE($I483,"",\s?"","""")))"),"")</f>
        <v/>
      </c>
      <c r="S483" s="13"/>
      <c r="T483" s="13"/>
      <c r="U483" s="13"/>
      <c r="V483" s="13"/>
      <c r="W483" s="13"/>
      <c r="X483" s="13"/>
      <c r="Y483" s="13"/>
      <c r="Z483" s="13"/>
      <c r="AA483" s="13"/>
      <c r="AB483" s="13"/>
    </row>
    <row r="484" hidden="1">
      <c r="C484" s="89"/>
      <c r="D484" s="89"/>
      <c r="G484" s="56"/>
      <c r="H484" s="89"/>
      <c r="I484" s="89"/>
      <c r="J484" s="89"/>
      <c r="Q484" s="13" t="str">
        <f>IFERROR(__xludf.DUMMYFUNCTION("IF($A484="""","""",LEN(REGEXREPLACE($I484,"",\s?"","""")))"),"")</f>
        <v/>
      </c>
      <c r="S484" s="13"/>
      <c r="T484" s="13"/>
      <c r="U484" s="13"/>
      <c r="V484" s="13"/>
      <c r="W484" s="13"/>
      <c r="X484" s="13"/>
      <c r="Y484" s="13"/>
      <c r="Z484" s="13"/>
      <c r="AA484" s="13"/>
      <c r="AB484" s="13"/>
    </row>
    <row r="485" hidden="1">
      <c r="C485" s="89"/>
      <c r="D485" s="89"/>
      <c r="G485" s="56"/>
      <c r="H485" s="89"/>
      <c r="I485" s="89"/>
      <c r="J485" s="89"/>
      <c r="Q485" s="13" t="str">
        <f>IFERROR(__xludf.DUMMYFUNCTION("IF($A485="""","""",LEN(REGEXREPLACE($I485,"",\s?"","""")))"),"")</f>
        <v/>
      </c>
      <c r="S485" s="13"/>
      <c r="T485" s="13"/>
      <c r="U485" s="13"/>
      <c r="V485" s="13"/>
      <c r="W485" s="13"/>
      <c r="X485" s="13"/>
      <c r="Y485" s="13"/>
      <c r="Z485" s="13"/>
      <c r="AA485" s="13"/>
      <c r="AB485" s="13"/>
    </row>
    <row r="486" hidden="1">
      <c r="C486" s="89"/>
      <c r="D486" s="89"/>
      <c r="G486" s="56"/>
      <c r="H486" s="89"/>
      <c r="I486" s="89"/>
      <c r="J486" s="89"/>
      <c r="Q486" s="13" t="str">
        <f>IFERROR(__xludf.DUMMYFUNCTION("IF($A486="""","""",LEN(REGEXREPLACE($I486,"",\s?"","""")))"),"")</f>
        <v/>
      </c>
      <c r="S486" s="13"/>
      <c r="T486" s="13"/>
      <c r="U486" s="13"/>
      <c r="V486" s="13"/>
      <c r="W486" s="13"/>
      <c r="X486" s="13"/>
      <c r="Y486" s="13"/>
      <c r="Z486" s="13"/>
      <c r="AA486" s="13"/>
      <c r="AB486" s="13"/>
    </row>
    <row r="487" hidden="1">
      <c r="C487" s="89"/>
      <c r="D487" s="89"/>
      <c r="G487" s="56"/>
      <c r="H487" s="89"/>
      <c r="I487" s="89"/>
      <c r="J487" s="89"/>
      <c r="Q487" s="13" t="str">
        <f>IFERROR(__xludf.DUMMYFUNCTION("IF($A487="""","""",LEN(REGEXREPLACE($I487,"",\s?"","""")))"),"")</f>
        <v/>
      </c>
      <c r="S487" s="13"/>
      <c r="T487" s="13"/>
      <c r="U487" s="13"/>
      <c r="V487" s="13"/>
      <c r="W487" s="13"/>
      <c r="X487" s="13"/>
      <c r="Y487" s="13"/>
      <c r="Z487" s="13"/>
      <c r="AA487" s="13"/>
      <c r="AB487" s="13"/>
    </row>
    <row r="488" hidden="1">
      <c r="C488" s="89"/>
      <c r="D488" s="89"/>
      <c r="G488" s="56"/>
      <c r="H488" s="89"/>
      <c r="I488" s="89"/>
      <c r="J488" s="89"/>
      <c r="Q488" s="13" t="str">
        <f>IFERROR(__xludf.DUMMYFUNCTION("IF($A488="""","""",LEN(REGEXREPLACE($I488,"",\s?"","""")))"),"")</f>
        <v/>
      </c>
      <c r="S488" s="13"/>
      <c r="T488" s="13"/>
      <c r="U488" s="13"/>
      <c r="V488" s="13"/>
      <c r="W488" s="13"/>
      <c r="X488" s="13"/>
      <c r="Y488" s="13"/>
      <c r="Z488" s="13"/>
      <c r="AA488" s="13"/>
      <c r="AB488" s="13"/>
    </row>
    <row r="489" hidden="1">
      <c r="C489" s="89"/>
      <c r="D489" s="89"/>
      <c r="G489" s="56"/>
      <c r="H489" s="89"/>
      <c r="I489" s="89"/>
      <c r="J489" s="89"/>
      <c r="Q489" s="13" t="str">
        <f>IFERROR(__xludf.DUMMYFUNCTION("IF($A489="""","""",LEN(REGEXREPLACE($I489,"",\s?"","""")))"),"")</f>
        <v/>
      </c>
      <c r="S489" s="13"/>
      <c r="T489" s="13"/>
      <c r="U489" s="13"/>
      <c r="V489" s="13"/>
      <c r="W489" s="13"/>
      <c r="X489" s="13"/>
      <c r="Y489" s="13"/>
      <c r="Z489" s="13"/>
      <c r="AA489" s="13"/>
      <c r="AB489" s="13"/>
    </row>
    <row r="490" hidden="1">
      <c r="C490" s="89"/>
      <c r="D490" s="89"/>
      <c r="G490" s="56"/>
      <c r="H490" s="89"/>
      <c r="I490" s="89"/>
      <c r="J490" s="89"/>
      <c r="Q490" s="13" t="str">
        <f>IFERROR(__xludf.DUMMYFUNCTION("IF($A490="""","""",LEN(REGEXREPLACE($I490,"",\s?"","""")))"),"")</f>
        <v/>
      </c>
      <c r="S490" s="13"/>
      <c r="T490" s="13"/>
      <c r="U490" s="13"/>
      <c r="V490" s="13"/>
      <c r="W490" s="13"/>
      <c r="X490" s="13"/>
      <c r="Y490" s="13"/>
      <c r="Z490" s="13"/>
      <c r="AA490" s="13"/>
      <c r="AB490" s="13"/>
    </row>
    <row r="491" hidden="1">
      <c r="C491" s="89"/>
      <c r="D491" s="89"/>
      <c r="G491" s="56"/>
      <c r="H491" s="89"/>
      <c r="I491" s="89"/>
      <c r="J491" s="89"/>
      <c r="Q491" s="13" t="str">
        <f>IFERROR(__xludf.DUMMYFUNCTION("IF($A491="""","""",LEN(REGEXREPLACE($I491,"",\s?"","""")))"),"")</f>
        <v/>
      </c>
      <c r="S491" s="13"/>
      <c r="T491" s="13"/>
      <c r="U491" s="13"/>
      <c r="V491" s="13"/>
      <c r="W491" s="13"/>
      <c r="X491" s="13"/>
      <c r="Y491" s="13"/>
      <c r="Z491" s="13"/>
      <c r="AA491" s="13"/>
      <c r="AB491" s="13"/>
    </row>
    <row r="492" hidden="1">
      <c r="C492" s="89"/>
      <c r="D492" s="89"/>
      <c r="G492" s="56"/>
      <c r="H492" s="89"/>
      <c r="I492" s="89"/>
      <c r="J492" s="89"/>
      <c r="S492" s="13"/>
      <c r="T492" s="13"/>
      <c r="U492" s="13"/>
      <c r="V492" s="13"/>
      <c r="W492" s="13"/>
      <c r="X492" s="13"/>
      <c r="Y492" s="13"/>
      <c r="Z492" s="13"/>
      <c r="AA492" s="13"/>
      <c r="AB492" s="13"/>
    </row>
    <row r="493" hidden="1">
      <c r="C493" s="89"/>
      <c r="D493" s="89"/>
      <c r="G493" s="56"/>
      <c r="H493" s="89"/>
      <c r="I493" s="89"/>
      <c r="J493" s="89"/>
      <c r="S493" s="13"/>
      <c r="T493" s="13"/>
      <c r="U493" s="13"/>
      <c r="V493" s="13"/>
      <c r="W493" s="13"/>
      <c r="X493" s="13"/>
      <c r="Y493" s="13"/>
      <c r="Z493" s="13"/>
      <c r="AA493" s="13"/>
      <c r="AB493" s="13"/>
    </row>
    <row r="494" hidden="1">
      <c r="C494" s="89"/>
      <c r="D494" s="89"/>
      <c r="G494" s="56"/>
      <c r="H494" s="89"/>
      <c r="I494" s="89"/>
      <c r="J494" s="89"/>
      <c r="S494" s="13"/>
      <c r="T494" s="13"/>
      <c r="U494" s="13"/>
      <c r="V494" s="13"/>
      <c r="W494" s="13"/>
      <c r="X494" s="13"/>
      <c r="Y494" s="13"/>
      <c r="Z494" s="13"/>
      <c r="AA494" s="13"/>
      <c r="AB494" s="13"/>
    </row>
    <row r="495" hidden="1">
      <c r="C495" s="89"/>
      <c r="D495" s="89"/>
      <c r="G495" s="56"/>
      <c r="H495" s="89"/>
      <c r="I495" s="89"/>
      <c r="J495" s="89"/>
      <c r="S495" s="13"/>
      <c r="T495" s="13"/>
      <c r="U495" s="13"/>
      <c r="V495" s="13"/>
      <c r="W495" s="13"/>
      <c r="X495" s="13"/>
      <c r="Y495" s="13"/>
      <c r="Z495" s="13"/>
      <c r="AA495" s="13"/>
      <c r="AB495" s="13"/>
    </row>
    <row r="496" hidden="1">
      <c r="C496" s="89"/>
      <c r="D496" s="89"/>
      <c r="G496" s="56"/>
      <c r="H496" s="89"/>
      <c r="I496" s="89"/>
      <c r="J496" s="89"/>
      <c r="S496" s="13"/>
      <c r="T496" s="13"/>
      <c r="U496" s="13"/>
      <c r="V496" s="13"/>
      <c r="W496" s="13"/>
      <c r="X496" s="13"/>
      <c r="Y496" s="13"/>
      <c r="Z496" s="13"/>
      <c r="AA496" s="13"/>
      <c r="AB496" s="13"/>
    </row>
    <row r="497" hidden="1">
      <c r="C497" s="89"/>
      <c r="D497" s="89"/>
      <c r="G497" s="56"/>
      <c r="H497" s="89"/>
      <c r="I497" s="89"/>
      <c r="J497" s="89"/>
      <c r="S497" s="13"/>
      <c r="T497" s="13"/>
      <c r="U497" s="13"/>
      <c r="V497" s="13"/>
      <c r="W497" s="13"/>
      <c r="X497" s="13"/>
      <c r="Y497" s="13"/>
      <c r="Z497" s="13"/>
      <c r="AA497" s="13"/>
      <c r="AB497" s="13"/>
    </row>
    <row r="498" hidden="1">
      <c r="C498" s="89"/>
      <c r="D498" s="89"/>
      <c r="G498" s="56"/>
      <c r="H498" s="89"/>
      <c r="I498" s="89"/>
      <c r="J498" s="89"/>
      <c r="S498" s="13"/>
      <c r="T498" s="13"/>
      <c r="U498" s="13"/>
      <c r="V498" s="13"/>
      <c r="W498" s="13"/>
      <c r="X498" s="13"/>
      <c r="Y498" s="13"/>
      <c r="Z498" s="13"/>
      <c r="AA498" s="13"/>
      <c r="AB498" s="13"/>
    </row>
    <row r="499" hidden="1">
      <c r="C499" s="89"/>
      <c r="D499" s="89"/>
      <c r="G499" s="56"/>
      <c r="H499" s="89"/>
      <c r="I499" s="89"/>
      <c r="J499" s="89"/>
      <c r="S499" s="13"/>
      <c r="T499" s="13"/>
      <c r="U499" s="13"/>
      <c r="V499" s="13"/>
      <c r="W499" s="13"/>
      <c r="X499" s="13"/>
      <c r="Y499" s="13"/>
      <c r="Z499" s="13"/>
      <c r="AA499" s="13"/>
      <c r="AB499" s="13"/>
    </row>
    <row r="500" hidden="1">
      <c r="C500" s="89"/>
      <c r="D500" s="89"/>
      <c r="G500" s="56"/>
      <c r="H500" s="89"/>
      <c r="I500" s="89"/>
      <c r="J500" s="89"/>
      <c r="S500" s="13"/>
      <c r="T500" s="13"/>
      <c r="U500" s="13"/>
      <c r="V500" s="13"/>
      <c r="W500" s="13"/>
      <c r="X500" s="13"/>
      <c r="Y500" s="13"/>
      <c r="Z500" s="13"/>
      <c r="AA500" s="13"/>
      <c r="AB500" s="13"/>
    </row>
    <row r="501" hidden="1">
      <c r="C501" s="89"/>
      <c r="D501" s="89"/>
      <c r="G501" s="56"/>
      <c r="H501" s="89"/>
      <c r="I501" s="89"/>
      <c r="J501" s="89"/>
      <c r="S501" s="13"/>
      <c r="T501" s="13"/>
      <c r="U501" s="13"/>
      <c r="V501" s="13"/>
      <c r="W501" s="13"/>
      <c r="X501" s="13"/>
      <c r="Y501" s="13"/>
      <c r="Z501" s="13"/>
      <c r="AA501" s="13"/>
      <c r="AB501" s="13"/>
    </row>
    <row r="502" hidden="1">
      <c r="C502" s="89"/>
      <c r="D502" s="89"/>
      <c r="G502" s="56"/>
      <c r="H502" s="89"/>
      <c r="I502" s="89"/>
      <c r="J502" s="89"/>
      <c r="S502" s="13"/>
      <c r="T502" s="13"/>
      <c r="U502" s="13"/>
      <c r="V502" s="13"/>
      <c r="W502" s="13"/>
      <c r="X502" s="13"/>
      <c r="Y502" s="13"/>
      <c r="Z502" s="13"/>
      <c r="AA502" s="13"/>
      <c r="AB502" s="13"/>
    </row>
    <row r="503" hidden="1">
      <c r="C503" s="89"/>
      <c r="D503" s="89"/>
      <c r="G503" s="56"/>
      <c r="H503" s="89"/>
      <c r="I503" s="89"/>
      <c r="J503" s="89"/>
      <c r="S503" s="13"/>
      <c r="T503" s="13"/>
      <c r="U503" s="13"/>
      <c r="V503" s="13"/>
      <c r="W503" s="13"/>
      <c r="X503" s="13"/>
      <c r="Y503" s="13"/>
      <c r="Z503" s="13"/>
      <c r="AA503" s="13"/>
      <c r="AB503" s="13"/>
    </row>
    <row r="504" hidden="1">
      <c r="C504" s="89"/>
      <c r="D504" s="89"/>
      <c r="G504" s="56"/>
      <c r="H504" s="89"/>
      <c r="I504" s="89"/>
      <c r="J504" s="89"/>
      <c r="S504" s="13"/>
      <c r="T504" s="13"/>
      <c r="U504" s="13"/>
      <c r="V504" s="13"/>
      <c r="W504" s="13"/>
      <c r="X504" s="13"/>
      <c r="Y504" s="13"/>
      <c r="Z504" s="13"/>
      <c r="AA504" s="13"/>
      <c r="AB504" s="13"/>
    </row>
    <row r="505" hidden="1">
      <c r="C505" s="89"/>
      <c r="D505" s="89"/>
      <c r="G505" s="56"/>
      <c r="H505" s="89"/>
      <c r="I505" s="89"/>
      <c r="J505" s="89"/>
      <c r="S505" s="13"/>
      <c r="T505" s="13"/>
      <c r="U505" s="13"/>
      <c r="V505" s="13"/>
      <c r="W505" s="13"/>
      <c r="X505" s="13"/>
      <c r="Y505" s="13"/>
      <c r="Z505" s="13"/>
      <c r="AA505" s="13"/>
      <c r="AB505" s="13"/>
    </row>
    <row r="506" hidden="1">
      <c r="C506" s="89"/>
      <c r="D506" s="89"/>
      <c r="G506" s="56"/>
      <c r="H506" s="89"/>
      <c r="I506" s="89"/>
      <c r="J506" s="89"/>
      <c r="S506" s="13"/>
      <c r="T506" s="13"/>
      <c r="U506" s="13"/>
      <c r="V506" s="13"/>
      <c r="W506" s="13"/>
      <c r="X506" s="13"/>
      <c r="Y506" s="13"/>
      <c r="Z506" s="13"/>
      <c r="AA506" s="13"/>
      <c r="AB506" s="13"/>
    </row>
    <row r="507" hidden="1">
      <c r="C507" s="89"/>
      <c r="D507" s="89"/>
      <c r="G507" s="56"/>
      <c r="H507" s="89"/>
      <c r="I507" s="89"/>
      <c r="J507" s="89"/>
      <c r="S507" s="13"/>
      <c r="T507" s="13"/>
      <c r="U507" s="13"/>
      <c r="V507" s="13"/>
      <c r="W507" s="13"/>
      <c r="X507" s="13"/>
      <c r="Y507" s="13"/>
      <c r="Z507" s="13"/>
      <c r="AA507" s="13"/>
      <c r="AB507" s="13"/>
    </row>
    <row r="508" hidden="1">
      <c r="C508" s="89"/>
      <c r="D508" s="89"/>
      <c r="G508" s="56"/>
      <c r="H508" s="89"/>
      <c r="I508" s="89"/>
      <c r="J508" s="89"/>
      <c r="S508" s="13"/>
      <c r="T508" s="13"/>
      <c r="U508" s="13"/>
      <c r="V508" s="13"/>
      <c r="W508" s="13"/>
      <c r="X508" s="13"/>
      <c r="Y508" s="13"/>
      <c r="Z508" s="13"/>
      <c r="AA508" s="13"/>
      <c r="AB508" s="13"/>
    </row>
    <row r="509" hidden="1">
      <c r="C509" s="89"/>
      <c r="D509" s="89"/>
      <c r="G509" s="56"/>
      <c r="H509" s="89"/>
      <c r="I509" s="89"/>
      <c r="J509" s="89"/>
      <c r="S509" s="13"/>
      <c r="T509" s="13"/>
      <c r="U509" s="13"/>
      <c r="V509" s="13"/>
      <c r="W509" s="13"/>
      <c r="X509" s="13"/>
      <c r="Y509" s="13"/>
      <c r="Z509" s="13"/>
      <c r="AA509" s="13"/>
      <c r="AB509" s="13"/>
    </row>
    <row r="510" hidden="1">
      <c r="C510" s="89"/>
      <c r="D510" s="89"/>
      <c r="G510" s="56"/>
      <c r="H510" s="89"/>
      <c r="I510" s="89"/>
      <c r="J510" s="89"/>
      <c r="S510" s="13"/>
      <c r="T510" s="13"/>
      <c r="U510" s="13"/>
      <c r="V510" s="13"/>
      <c r="W510" s="13"/>
      <c r="X510" s="13"/>
      <c r="Y510" s="13"/>
      <c r="Z510" s="13"/>
      <c r="AA510" s="13"/>
      <c r="AB510" s="13"/>
    </row>
    <row r="511" hidden="1">
      <c r="C511" s="89"/>
      <c r="D511" s="89"/>
      <c r="G511" s="56"/>
      <c r="H511" s="89"/>
      <c r="I511" s="89"/>
      <c r="J511" s="89"/>
      <c r="S511" s="13"/>
      <c r="T511" s="13"/>
      <c r="U511" s="13"/>
      <c r="V511" s="13"/>
      <c r="W511" s="13"/>
      <c r="X511" s="13"/>
      <c r="Y511" s="13"/>
      <c r="Z511" s="13"/>
      <c r="AA511" s="13"/>
      <c r="AB511" s="13"/>
    </row>
    <row r="512" hidden="1">
      <c r="C512" s="89"/>
      <c r="D512" s="89"/>
      <c r="G512" s="56"/>
      <c r="H512" s="89"/>
      <c r="I512" s="89"/>
      <c r="J512" s="89"/>
      <c r="S512" s="13"/>
      <c r="T512" s="13"/>
      <c r="U512" s="13"/>
      <c r="V512" s="13"/>
      <c r="W512" s="13"/>
      <c r="X512" s="13"/>
      <c r="Y512" s="13"/>
      <c r="Z512" s="13"/>
      <c r="AA512" s="13"/>
      <c r="AB512" s="13"/>
    </row>
    <row r="513" hidden="1">
      <c r="C513" s="89"/>
      <c r="D513" s="89"/>
      <c r="G513" s="56"/>
      <c r="H513" s="89"/>
      <c r="I513" s="89"/>
      <c r="J513" s="89"/>
      <c r="S513" s="13"/>
      <c r="T513" s="13"/>
      <c r="U513" s="13"/>
      <c r="V513" s="13"/>
      <c r="W513" s="13"/>
      <c r="X513" s="13"/>
      <c r="Y513" s="13"/>
      <c r="Z513" s="13"/>
      <c r="AA513" s="13"/>
      <c r="AB513" s="13"/>
    </row>
    <row r="514" hidden="1">
      <c r="C514" s="89"/>
      <c r="D514" s="89"/>
      <c r="G514" s="56"/>
      <c r="H514" s="89"/>
      <c r="I514" s="89"/>
      <c r="J514" s="89"/>
      <c r="S514" s="13"/>
      <c r="T514" s="13"/>
      <c r="U514" s="13"/>
      <c r="V514" s="13"/>
      <c r="W514" s="13"/>
      <c r="X514" s="13"/>
      <c r="Y514" s="13"/>
      <c r="Z514" s="13"/>
      <c r="AA514" s="13"/>
      <c r="AB514" s="13"/>
    </row>
    <row r="515" hidden="1">
      <c r="C515" s="89"/>
      <c r="D515" s="89"/>
      <c r="G515" s="56"/>
      <c r="H515" s="89"/>
      <c r="I515" s="89"/>
      <c r="J515" s="89"/>
      <c r="S515" s="13"/>
      <c r="T515" s="13"/>
      <c r="U515" s="13"/>
      <c r="V515" s="13"/>
      <c r="W515" s="13"/>
      <c r="X515" s="13"/>
      <c r="Y515" s="13"/>
      <c r="Z515" s="13"/>
      <c r="AA515" s="13"/>
      <c r="AB515" s="13"/>
    </row>
    <row r="516" hidden="1">
      <c r="C516" s="89"/>
      <c r="D516" s="89"/>
      <c r="G516" s="56"/>
      <c r="H516" s="89"/>
      <c r="I516" s="89"/>
      <c r="J516" s="89"/>
      <c r="S516" s="13"/>
      <c r="T516" s="13"/>
      <c r="U516" s="13"/>
      <c r="V516" s="13"/>
      <c r="W516" s="13"/>
      <c r="X516" s="13"/>
      <c r="Y516" s="13"/>
      <c r="Z516" s="13"/>
      <c r="AA516" s="13"/>
      <c r="AB516" s="13"/>
    </row>
    <row r="517" hidden="1">
      <c r="C517" s="89"/>
      <c r="D517" s="89"/>
      <c r="G517" s="56"/>
      <c r="H517" s="89"/>
      <c r="I517" s="89"/>
      <c r="J517" s="89"/>
      <c r="S517" s="13"/>
      <c r="T517" s="13"/>
      <c r="U517" s="13"/>
      <c r="V517" s="13"/>
      <c r="W517" s="13"/>
      <c r="X517" s="13"/>
      <c r="Y517" s="13"/>
      <c r="Z517" s="13"/>
      <c r="AA517" s="13"/>
      <c r="AB517" s="13"/>
    </row>
    <row r="518" hidden="1">
      <c r="C518" s="89"/>
      <c r="D518" s="89"/>
      <c r="G518" s="56"/>
      <c r="H518" s="89"/>
      <c r="I518" s="89"/>
      <c r="J518" s="89"/>
      <c r="S518" s="13"/>
      <c r="T518" s="13"/>
      <c r="U518" s="13"/>
      <c r="V518" s="13"/>
      <c r="W518" s="13"/>
      <c r="X518" s="13"/>
      <c r="Y518" s="13"/>
      <c r="Z518" s="13"/>
      <c r="AA518" s="13"/>
      <c r="AB518" s="13"/>
    </row>
    <row r="519" hidden="1">
      <c r="C519" s="89"/>
      <c r="D519" s="89"/>
      <c r="G519" s="56"/>
      <c r="H519" s="89"/>
      <c r="I519" s="89"/>
      <c r="J519" s="89"/>
      <c r="S519" s="13"/>
      <c r="T519" s="13"/>
      <c r="U519" s="13"/>
      <c r="V519" s="13"/>
      <c r="W519" s="13"/>
      <c r="X519" s="13"/>
      <c r="Y519" s="13"/>
      <c r="Z519" s="13"/>
      <c r="AA519" s="13"/>
      <c r="AB519" s="13"/>
    </row>
    <row r="520" hidden="1">
      <c r="C520" s="89"/>
      <c r="D520" s="89"/>
      <c r="G520" s="56"/>
      <c r="H520" s="89"/>
      <c r="I520" s="89"/>
      <c r="J520" s="89"/>
      <c r="S520" s="13"/>
      <c r="T520" s="13"/>
      <c r="U520" s="13"/>
      <c r="V520" s="13"/>
      <c r="W520" s="13"/>
      <c r="X520" s="13"/>
      <c r="Y520" s="13"/>
      <c r="Z520" s="13"/>
      <c r="AA520" s="13"/>
      <c r="AB520" s="13"/>
    </row>
    <row r="521" hidden="1">
      <c r="C521" s="89"/>
      <c r="D521" s="89"/>
      <c r="G521" s="56"/>
      <c r="H521" s="89"/>
      <c r="I521" s="89"/>
      <c r="J521" s="89"/>
      <c r="S521" s="13"/>
      <c r="T521" s="13"/>
      <c r="U521" s="13"/>
      <c r="V521" s="13"/>
      <c r="W521" s="13"/>
      <c r="X521" s="13"/>
      <c r="Y521" s="13"/>
      <c r="Z521" s="13"/>
      <c r="AA521" s="13"/>
      <c r="AB521" s="13"/>
    </row>
    <row r="522" hidden="1">
      <c r="C522" s="89"/>
      <c r="D522" s="89"/>
      <c r="G522" s="56"/>
      <c r="H522" s="89"/>
      <c r="I522" s="89"/>
      <c r="J522" s="89"/>
      <c r="S522" s="13"/>
      <c r="T522" s="13"/>
      <c r="U522" s="13"/>
      <c r="V522" s="13"/>
      <c r="W522" s="13"/>
      <c r="X522" s="13"/>
      <c r="Y522" s="13"/>
      <c r="Z522" s="13"/>
      <c r="AA522" s="13"/>
      <c r="AB522" s="13"/>
    </row>
    <row r="523" hidden="1">
      <c r="C523" s="89"/>
      <c r="D523" s="89"/>
      <c r="G523" s="56"/>
      <c r="H523" s="89"/>
      <c r="I523" s="89"/>
      <c r="J523" s="89"/>
      <c r="S523" s="13"/>
      <c r="T523" s="13"/>
      <c r="U523" s="13"/>
      <c r="V523" s="13"/>
      <c r="W523" s="13"/>
      <c r="X523" s="13"/>
      <c r="Y523" s="13"/>
      <c r="Z523" s="13"/>
      <c r="AA523" s="13"/>
      <c r="AB523" s="13"/>
    </row>
    <row r="524" hidden="1">
      <c r="C524" s="89"/>
      <c r="D524" s="89"/>
      <c r="G524" s="56"/>
      <c r="H524" s="89"/>
      <c r="I524" s="89"/>
      <c r="J524" s="89"/>
      <c r="S524" s="13"/>
      <c r="T524" s="13"/>
      <c r="U524" s="13"/>
      <c r="V524" s="13"/>
      <c r="W524" s="13"/>
      <c r="X524" s="13"/>
      <c r="Y524" s="13"/>
      <c r="Z524" s="13"/>
      <c r="AA524" s="13"/>
      <c r="AB524" s="13"/>
    </row>
    <row r="525" hidden="1">
      <c r="C525" s="89"/>
      <c r="D525" s="89"/>
      <c r="G525" s="56"/>
      <c r="H525" s="89"/>
      <c r="I525" s="89"/>
      <c r="J525" s="89"/>
      <c r="S525" s="13"/>
      <c r="T525" s="13"/>
      <c r="U525" s="13"/>
      <c r="V525" s="13"/>
      <c r="W525" s="13"/>
      <c r="X525" s="13"/>
      <c r="Y525" s="13"/>
      <c r="Z525" s="13"/>
      <c r="AA525" s="13"/>
      <c r="AB525" s="13"/>
    </row>
    <row r="526" hidden="1">
      <c r="C526" s="89"/>
      <c r="D526" s="89"/>
      <c r="G526" s="56"/>
      <c r="H526" s="89"/>
      <c r="I526" s="89"/>
      <c r="J526" s="89"/>
      <c r="S526" s="13"/>
      <c r="T526" s="13"/>
      <c r="U526" s="13"/>
      <c r="V526" s="13"/>
      <c r="W526" s="13"/>
      <c r="X526" s="13"/>
      <c r="Y526" s="13"/>
      <c r="Z526" s="13"/>
      <c r="AA526" s="13"/>
      <c r="AB526" s="13"/>
    </row>
    <row r="527" hidden="1">
      <c r="C527" s="89"/>
      <c r="D527" s="89"/>
      <c r="G527" s="56"/>
      <c r="H527" s="89"/>
      <c r="I527" s="89"/>
      <c r="J527" s="89"/>
      <c r="S527" s="13"/>
      <c r="T527" s="13"/>
      <c r="U527" s="13"/>
      <c r="V527" s="13"/>
      <c r="W527" s="13"/>
      <c r="X527" s="13"/>
      <c r="Y527" s="13"/>
      <c r="Z527" s="13"/>
      <c r="AA527" s="13"/>
      <c r="AB527" s="13"/>
    </row>
    <row r="528" hidden="1">
      <c r="C528" s="89"/>
      <c r="D528" s="89"/>
      <c r="G528" s="56"/>
      <c r="H528" s="89"/>
      <c r="I528" s="89"/>
      <c r="J528" s="89"/>
      <c r="S528" s="13"/>
      <c r="T528" s="13"/>
      <c r="U528" s="13"/>
      <c r="V528" s="13"/>
      <c r="W528" s="13"/>
      <c r="X528" s="13"/>
      <c r="Y528" s="13"/>
      <c r="Z528" s="13"/>
      <c r="AA528" s="13"/>
      <c r="AB528" s="13"/>
    </row>
    <row r="529" hidden="1">
      <c r="C529" s="89"/>
      <c r="D529" s="89"/>
      <c r="G529" s="56"/>
      <c r="H529" s="89"/>
      <c r="I529" s="89"/>
      <c r="J529" s="89"/>
      <c r="S529" s="13"/>
      <c r="T529" s="13"/>
      <c r="U529" s="13"/>
      <c r="V529" s="13"/>
      <c r="W529" s="13"/>
      <c r="X529" s="13"/>
      <c r="Y529" s="13"/>
      <c r="Z529" s="13"/>
      <c r="AA529" s="13"/>
      <c r="AB529" s="13"/>
    </row>
    <row r="530" hidden="1">
      <c r="C530" s="89"/>
      <c r="D530" s="89"/>
      <c r="G530" s="56"/>
      <c r="H530" s="89"/>
      <c r="I530" s="89"/>
      <c r="J530" s="89"/>
      <c r="S530" s="13"/>
      <c r="T530" s="13"/>
      <c r="U530" s="13"/>
      <c r="V530" s="13"/>
      <c r="W530" s="13"/>
      <c r="X530" s="13"/>
      <c r="Y530" s="13"/>
      <c r="Z530" s="13"/>
      <c r="AA530" s="13"/>
      <c r="AB530" s="13"/>
    </row>
    <row r="531" hidden="1">
      <c r="C531" s="89"/>
      <c r="D531" s="89"/>
      <c r="G531" s="56"/>
      <c r="H531" s="89"/>
      <c r="I531" s="89"/>
      <c r="J531" s="89"/>
      <c r="S531" s="13"/>
      <c r="T531" s="13"/>
      <c r="U531" s="13"/>
      <c r="V531" s="13"/>
      <c r="W531" s="13"/>
      <c r="X531" s="13"/>
      <c r="Y531" s="13"/>
      <c r="Z531" s="13"/>
      <c r="AA531" s="13"/>
      <c r="AB531" s="13"/>
    </row>
    <row r="532" hidden="1">
      <c r="C532" s="89"/>
      <c r="D532" s="89"/>
      <c r="G532" s="56"/>
      <c r="H532" s="89"/>
      <c r="I532" s="89"/>
      <c r="J532" s="89"/>
      <c r="S532" s="13"/>
      <c r="T532" s="13"/>
      <c r="U532" s="13"/>
      <c r="V532" s="13"/>
      <c r="W532" s="13"/>
      <c r="X532" s="13"/>
      <c r="Y532" s="13"/>
      <c r="Z532" s="13"/>
      <c r="AA532" s="13"/>
      <c r="AB532" s="13"/>
    </row>
    <row r="533" hidden="1">
      <c r="C533" s="89"/>
      <c r="D533" s="89"/>
      <c r="G533" s="56"/>
      <c r="H533" s="89"/>
      <c r="I533" s="89"/>
      <c r="J533" s="89"/>
      <c r="S533" s="13"/>
      <c r="T533" s="13"/>
      <c r="U533" s="13"/>
      <c r="V533" s="13"/>
      <c r="W533" s="13"/>
      <c r="X533" s="13"/>
      <c r="Y533" s="13"/>
      <c r="Z533" s="13"/>
      <c r="AA533" s="13"/>
      <c r="AB533" s="13"/>
    </row>
    <row r="534" hidden="1">
      <c r="C534" s="89"/>
      <c r="D534" s="89"/>
      <c r="G534" s="56"/>
      <c r="H534" s="89"/>
      <c r="I534" s="89"/>
      <c r="J534" s="89"/>
      <c r="S534" s="13"/>
      <c r="T534" s="13"/>
      <c r="U534" s="13"/>
      <c r="V534" s="13"/>
      <c r="W534" s="13"/>
      <c r="X534" s="13"/>
      <c r="Y534" s="13"/>
      <c r="Z534" s="13"/>
      <c r="AA534" s="13"/>
      <c r="AB534" s="13"/>
    </row>
    <row r="535" hidden="1">
      <c r="C535" s="89"/>
      <c r="D535" s="89"/>
      <c r="G535" s="56"/>
      <c r="H535" s="89"/>
      <c r="I535" s="89"/>
      <c r="J535" s="89"/>
      <c r="S535" s="13"/>
      <c r="T535" s="13"/>
      <c r="U535" s="13"/>
      <c r="V535" s="13"/>
      <c r="W535" s="13"/>
      <c r="X535" s="13"/>
      <c r="Y535" s="13"/>
      <c r="Z535" s="13"/>
      <c r="AA535" s="13"/>
      <c r="AB535" s="13"/>
    </row>
    <row r="536" hidden="1">
      <c r="C536" s="89"/>
      <c r="D536" s="89"/>
      <c r="G536" s="56"/>
      <c r="H536" s="89"/>
      <c r="I536" s="89"/>
      <c r="J536" s="89"/>
      <c r="S536" s="13"/>
      <c r="T536" s="13"/>
      <c r="U536" s="13"/>
      <c r="V536" s="13"/>
      <c r="W536" s="13"/>
      <c r="X536" s="13"/>
      <c r="Y536" s="13"/>
      <c r="Z536" s="13"/>
      <c r="AA536" s="13"/>
      <c r="AB536" s="13"/>
    </row>
    <row r="537" hidden="1">
      <c r="C537" s="89"/>
      <c r="D537" s="89"/>
      <c r="G537" s="56"/>
      <c r="H537" s="89"/>
      <c r="I537" s="89"/>
      <c r="J537" s="89"/>
      <c r="S537" s="13"/>
      <c r="T537" s="13"/>
      <c r="U537" s="13"/>
      <c r="V537" s="13"/>
      <c r="W537" s="13"/>
      <c r="X537" s="13"/>
      <c r="Y537" s="13"/>
      <c r="Z537" s="13"/>
      <c r="AA537" s="13"/>
      <c r="AB537" s="13"/>
    </row>
    <row r="538" hidden="1">
      <c r="C538" s="89"/>
      <c r="D538" s="89"/>
      <c r="G538" s="56"/>
      <c r="H538" s="89"/>
      <c r="I538" s="89"/>
      <c r="J538" s="89"/>
      <c r="S538" s="13"/>
      <c r="T538" s="13"/>
      <c r="U538" s="13"/>
      <c r="V538" s="13"/>
      <c r="W538" s="13"/>
      <c r="X538" s="13"/>
      <c r="Y538" s="13"/>
      <c r="Z538" s="13"/>
      <c r="AA538" s="13"/>
      <c r="AB538" s="13"/>
    </row>
    <row r="539" hidden="1">
      <c r="C539" s="89"/>
      <c r="D539" s="89"/>
      <c r="G539" s="56"/>
      <c r="H539" s="89"/>
      <c r="I539" s="89"/>
      <c r="J539" s="89"/>
      <c r="S539" s="13"/>
      <c r="T539" s="13"/>
      <c r="U539" s="13"/>
      <c r="V539" s="13"/>
      <c r="W539" s="13"/>
      <c r="X539" s="13"/>
      <c r="Y539" s="13"/>
      <c r="Z539" s="13"/>
      <c r="AA539" s="13"/>
      <c r="AB539" s="13"/>
    </row>
    <row r="540" hidden="1">
      <c r="C540" s="89"/>
      <c r="D540" s="89"/>
      <c r="G540" s="56"/>
      <c r="H540" s="89"/>
      <c r="I540" s="89"/>
      <c r="J540" s="89"/>
      <c r="S540" s="13"/>
      <c r="T540" s="13"/>
      <c r="U540" s="13"/>
      <c r="V540" s="13"/>
      <c r="W540" s="13"/>
      <c r="X540" s="13"/>
      <c r="Y540" s="13"/>
      <c r="Z540" s="13"/>
      <c r="AA540" s="13"/>
      <c r="AB540" s="13"/>
    </row>
    <row r="541" hidden="1">
      <c r="C541" s="89"/>
      <c r="D541" s="89"/>
      <c r="G541" s="56"/>
      <c r="H541" s="89"/>
      <c r="I541" s="89"/>
      <c r="J541" s="89"/>
      <c r="S541" s="13"/>
      <c r="T541" s="13"/>
      <c r="U541" s="13"/>
      <c r="V541" s="13"/>
      <c r="W541" s="13"/>
      <c r="X541" s="13"/>
      <c r="Y541" s="13"/>
      <c r="Z541" s="13"/>
      <c r="AA541" s="13"/>
      <c r="AB541" s="13"/>
    </row>
    <row r="542" hidden="1">
      <c r="C542" s="89"/>
      <c r="D542" s="89"/>
      <c r="G542" s="56"/>
      <c r="H542" s="89"/>
      <c r="I542" s="89"/>
      <c r="J542" s="89"/>
      <c r="S542" s="13"/>
      <c r="T542" s="13"/>
      <c r="U542" s="13"/>
      <c r="V542" s="13"/>
      <c r="W542" s="13"/>
      <c r="X542" s="13"/>
      <c r="Y542" s="13"/>
      <c r="Z542" s="13"/>
      <c r="AA542" s="13"/>
      <c r="AB542" s="13"/>
    </row>
    <row r="543" hidden="1">
      <c r="C543" s="89"/>
      <c r="D543" s="89"/>
      <c r="G543" s="56"/>
      <c r="H543" s="89"/>
      <c r="I543" s="89"/>
      <c r="J543" s="89"/>
      <c r="S543" s="13"/>
      <c r="T543" s="13"/>
      <c r="U543" s="13"/>
      <c r="V543" s="13"/>
      <c r="W543" s="13"/>
      <c r="X543" s="13"/>
      <c r="Y543" s="13"/>
      <c r="Z543" s="13"/>
      <c r="AA543" s="13"/>
      <c r="AB543" s="13"/>
    </row>
    <row r="544" hidden="1">
      <c r="C544" s="89"/>
      <c r="D544" s="89"/>
      <c r="G544" s="56"/>
      <c r="H544" s="89"/>
      <c r="I544" s="89"/>
      <c r="J544" s="89"/>
      <c r="S544" s="13"/>
      <c r="T544" s="13"/>
      <c r="U544" s="13"/>
      <c r="V544" s="13"/>
      <c r="W544" s="13"/>
      <c r="X544" s="13"/>
      <c r="Y544" s="13"/>
      <c r="Z544" s="13"/>
      <c r="AA544" s="13"/>
      <c r="AB544" s="13"/>
    </row>
    <row r="545" hidden="1">
      <c r="C545" s="89"/>
      <c r="D545" s="89"/>
      <c r="G545" s="56"/>
      <c r="H545" s="89"/>
      <c r="I545" s="89"/>
      <c r="J545" s="89"/>
      <c r="S545" s="13"/>
      <c r="T545" s="13"/>
      <c r="U545" s="13"/>
      <c r="V545" s="13"/>
      <c r="W545" s="13"/>
      <c r="X545" s="13"/>
      <c r="Y545" s="13"/>
      <c r="Z545" s="13"/>
      <c r="AA545" s="13"/>
      <c r="AB545" s="13"/>
    </row>
    <row r="546" hidden="1">
      <c r="C546" s="89"/>
      <c r="D546" s="89"/>
      <c r="G546" s="56"/>
      <c r="H546" s="89"/>
      <c r="I546" s="89"/>
      <c r="J546" s="89"/>
      <c r="S546" s="13"/>
      <c r="T546" s="13"/>
      <c r="U546" s="13"/>
      <c r="V546" s="13"/>
      <c r="W546" s="13"/>
      <c r="X546" s="13"/>
      <c r="Y546" s="13"/>
      <c r="Z546" s="13"/>
      <c r="AA546" s="13"/>
      <c r="AB546" s="13"/>
    </row>
    <row r="547" hidden="1">
      <c r="C547" s="89"/>
      <c r="D547" s="89"/>
      <c r="G547" s="56"/>
      <c r="H547" s="89"/>
      <c r="I547" s="89"/>
      <c r="J547" s="89"/>
      <c r="S547" s="13"/>
      <c r="T547" s="13"/>
      <c r="U547" s="13"/>
      <c r="V547" s="13"/>
      <c r="W547" s="13"/>
      <c r="X547" s="13"/>
      <c r="Y547" s="13"/>
      <c r="Z547" s="13"/>
      <c r="AA547" s="13"/>
      <c r="AB547" s="13"/>
    </row>
    <row r="548" hidden="1">
      <c r="C548" s="89"/>
      <c r="D548" s="89"/>
      <c r="G548" s="56"/>
      <c r="H548" s="89"/>
      <c r="I548" s="89"/>
      <c r="J548" s="89"/>
      <c r="S548" s="13"/>
      <c r="T548" s="13"/>
      <c r="U548" s="13"/>
      <c r="V548" s="13"/>
      <c r="W548" s="13"/>
      <c r="X548" s="13"/>
      <c r="Y548" s="13"/>
      <c r="Z548" s="13"/>
      <c r="AA548" s="13"/>
      <c r="AB548" s="13"/>
    </row>
    <row r="549" hidden="1">
      <c r="C549" s="89"/>
      <c r="D549" s="89"/>
      <c r="G549" s="56"/>
      <c r="H549" s="89"/>
      <c r="I549" s="89"/>
      <c r="J549" s="89"/>
      <c r="S549" s="13"/>
      <c r="T549" s="13"/>
      <c r="U549" s="13"/>
      <c r="V549" s="13"/>
      <c r="W549" s="13"/>
      <c r="X549" s="13"/>
      <c r="Y549" s="13"/>
      <c r="Z549" s="13"/>
      <c r="AA549" s="13"/>
      <c r="AB549" s="13"/>
    </row>
    <row r="550" hidden="1">
      <c r="C550" s="89"/>
      <c r="D550" s="89"/>
      <c r="G550" s="56"/>
      <c r="H550" s="89"/>
      <c r="I550" s="89"/>
      <c r="J550" s="89"/>
      <c r="S550" s="13"/>
      <c r="T550" s="13"/>
      <c r="U550" s="13"/>
      <c r="V550" s="13"/>
      <c r="W550" s="13"/>
      <c r="X550" s="13"/>
      <c r="Y550" s="13"/>
      <c r="Z550" s="13"/>
      <c r="AA550" s="13"/>
      <c r="AB550" s="13"/>
    </row>
    <row r="551" hidden="1">
      <c r="C551" s="89"/>
      <c r="D551" s="89"/>
      <c r="G551" s="56"/>
      <c r="H551" s="89"/>
      <c r="I551" s="89"/>
      <c r="J551" s="89"/>
      <c r="S551" s="13"/>
      <c r="T551" s="13"/>
      <c r="U551" s="13"/>
      <c r="V551" s="13"/>
      <c r="W551" s="13"/>
      <c r="X551" s="13"/>
      <c r="Y551" s="13"/>
      <c r="Z551" s="13"/>
      <c r="AA551" s="13"/>
      <c r="AB551" s="13"/>
    </row>
    <row r="552" hidden="1">
      <c r="C552" s="89"/>
      <c r="D552" s="89"/>
      <c r="G552" s="56"/>
      <c r="H552" s="89"/>
      <c r="I552" s="89"/>
      <c r="J552" s="89"/>
      <c r="S552" s="13"/>
      <c r="T552" s="13"/>
      <c r="U552" s="13"/>
      <c r="V552" s="13"/>
      <c r="W552" s="13"/>
      <c r="X552" s="13"/>
      <c r="Y552" s="13"/>
      <c r="Z552" s="13"/>
      <c r="AA552" s="13"/>
      <c r="AB552" s="13"/>
    </row>
    <row r="553" hidden="1">
      <c r="C553" s="89"/>
      <c r="D553" s="89"/>
      <c r="G553" s="56"/>
      <c r="H553" s="89"/>
      <c r="I553" s="89"/>
      <c r="J553" s="89"/>
      <c r="S553" s="13"/>
      <c r="T553" s="13"/>
      <c r="U553" s="13"/>
      <c r="V553" s="13"/>
      <c r="W553" s="13"/>
      <c r="X553" s="13"/>
      <c r="Y553" s="13"/>
      <c r="Z553" s="13"/>
      <c r="AA553" s="13"/>
      <c r="AB553" s="13"/>
    </row>
    <row r="554" hidden="1">
      <c r="C554" s="89"/>
      <c r="D554" s="89"/>
      <c r="G554" s="56"/>
      <c r="H554" s="89"/>
      <c r="I554" s="89"/>
      <c r="J554" s="89"/>
      <c r="S554" s="13"/>
      <c r="T554" s="13"/>
      <c r="U554" s="13"/>
      <c r="V554" s="13"/>
      <c r="W554" s="13"/>
      <c r="X554" s="13"/>
      <c r="Y554" s="13"/>
      <c r="Z554" s="13"/>
      <c r="AA554" s="13"/>
      <c r="AB554" s="13"/>
    </row>
    <row r="555" hidden="1">
      <c r="C555" s="89"/>
      <c r="D555" s="89"/>
      <c r="G555" s="56"/>
      <c r="H555" s="89"/>
      <c r="I555" s="89"/>
      <c r="J555" s="89"/>
      <c r="S555" s="13"/>
      <c r="T555" s="13"/>
      <c r="U555" s="13"/>
      <c r="V555" s="13"/>
      <c r="W555" s="13"/>
      <c r="X555" s="13"/>
      <c r="Y555" s="13"/>
      <c r="Z555" s="13"/>
      <c r="AA555" s="13"/>
      <c r="AB555" s="13"/>
    </row>
    <row r="556" hidden="1">
      <c r="C556" s="89"/>
      <c r="D556" s="89"/>
      <c r="G556" s="56"/>
      <c r="H556" s="89"/>
      <c r="I556" s="89"/>
      <c r="J556" s="89"/>
      <c r="S556" s="13"/>
      <c r="T556" s="13"/>
      <c r="U556" s="13"/>
      <c r="V556" s="13"/>
      <c r="W556" s="13"/>
      <c r="X556" s="13"/>
      <c r="Y556" s="13"/>
      <c r="Z556" s="13"/>
      <c r="AA556" s="13"/>
      <c r="AB556" s="13"/>
    </row>
    <row r="557" hidden="1">
      <c r="C557" s="89"/>
      <c r="D557" s="89"/>
      <c r="G557" s="56"/>
      <c r="H557" s="89"/>
      <c r="I557" s="89"/>
      <c r="J557" s="89"/>
      <c r="S557" s="13"/>
      <c r="T557" s="13"/>
      <c r="U557" s="13"/>
      <c r="V557" s="13"/>
      <c r="W557" s="13"/>
      <c r="X557" s="13"/>
      <c r="Y557" s="13"/>
      <c r="Z557" s="13"/>
      <c r="AA557" s="13"/>
      <c r="AB557" s="13"/>
    </row>
    <row r="558" hidden="1">
      <c r="C558" s="89"/>
      <c r="D558" s="89"/>
      <c r="G558" s="56"/>
      <c r="H558" s="89"/>
      <c r="I558" s="89"/>
      <c r="J558" s="89"/>
      <c r="S558" s="13"/>
      <c r="T558" s="13"/>
      <c r="U558" s="13"/>
      <c r="V558" s="13"/>
      <c r="W558" s="13"/>
      <c r="X558" s="13"/>
      <c r="Y558" s="13"/>
      <c r="Z558" s="13"/>
      <c r="AA558" s="13"/>
      <c r="AB558" s="13"/>
    </row>
    <row r="559" hidden="1">
      <c r="C559" s="89"/>
      <c r="D559" s="89"/>
      <c r="G559" s="56"/>
      <c r="H559" s="89"/>
      <c r="I559" s="89"/>
      <c r="J559" s="89"/>
      <c r="S559" s="13"/>
      <c r="T559" s="13"/>
      <c r="U559" s="13"/>
      <c r="V559" s="13"/>
      <c r="W559" s="13"/>
      <c r="X559" s="13"/>
      <c r="Y559" s="13"/>
      <c r="Z559" s="13"/>
      <c r="AA559" s="13"/>
      <c r="AB559" s="13"/>
    </row>
    <row r="560" hidden="1">
      <c r="C560" s="89"/>
      <c r="D560" s="89"/>
      <c r="G560" s="56"/>
      <c r="H560" s="89"/>
      <c r="I560" s="89"/>
      <c r="J560" s="89"/>
      <c r="S560" s="13"/>
      <c r="T560" s="13"/>
      <c r="U560" s="13"/>
      <c r="V560" s="13"/>
      <c r="W560" s="13"/>
      <c r="X560" s="13"/>
      <c r="Y560" s="13"/>
      <c r="Z560" s="13"/>
      <c r="AA560" s="13"/>
      <c r="AB560" s="13"/>
    </row>
    <row r="561" hidden="1">
      <c r="C561" s="89"/>
      <c r="D561" s="89"/>
      <c r="G561" s="56"/>
      <c r="H561" s="89"/>
      <c r="I561" s="89"/>
      <c r="J561" s="89"/>
      <c r="S561" s="13"/>
      <c r="T561" s="13"/>
      <c r="U561" s="13"/>
      <c r="V561" s="13"/>
      <c r="W561" s="13"/>
      <c r="X561" s="13"/>
      <c r="Y561" s="13"/>
      <c r="Z561" s="13"/>
      <c r="AA561" s="13"/>
      <c r="AB561" s="13"/>
    </row>
    <row r="562" hidden="1">
      <c r="C562" s="89"/>
      <c r="D562" s="89"/>
      <c r="G562" s="56"/>
      <c r="H562" s="89"/>
      <c r="I562" s="89"/>
      <c r="J562" s="89"/>
      <c r="S562" s="13"/>
      <c r="T562" s="13"/>
      <c r="U562" s="13"/>
      <c r="V562" s="13"/>
      <c r="W562" s="13"/>
      <c r="X562" s="13"/>
      <c r="Y562" s="13"/>
      <c r="Z562" s="13"/>
      <c r="AA562" s="13"/>
      <c r="AB562" s="13"/>
    </row>
    <row r="563" hidden="1">
      <c r="C563" s="89"/>
      <c r="D563" s="89"/>
      <c r="G563" s="56"/>
      <c r="H563" s="89"/>
      <c r="I563" s="89"/>
      <c r="J563" s="89"/>
      <c r="S563" s="13"/>
      <c r="T563" s="13"/>
      <c r="U563" s="13"/>
      <c r="V563" s="13"/>
      <c r="W563" s="13"/>
      <c r="X563" s="13"/>
      <c r="Y563" s="13"/>
      <c r="Z563" s="13"/>
      <c r="AA563" s="13"/>
      <c r="AB563" s="13"/>
    </row>
    <row r="564" hidden="1">
      <c r="C564" s="89"/>
      <c r="D564" s="89"/>
      <c r="G564" s="56"/>
      <c r="H564" s="89"/>
      <c r="I564" s="89"/>
      <c r="J564" s="89"/>
      <c r="S564" s="13"/>
      <c r="T564" s="13"/>
      <c r="U564" s="13"/>
      <c r="V564" s="13"/>
      <c r="W564" s="13"/>
      <c r="X564" s="13"/>
      <c r="Y564" s="13"/>
      <c r="Z564" s="13"/>
      <c r="AA564" s="13"/>
      <c r="AB564" s="13"/>
    </row>
    <row r="565" hidden="1">
      <c r="C565" s="89"/>
      <c r="D565" s="89"/>
      <c r="G565" s="56"/>
      <c r="H565" s="89"/>
      <c r="I565" s="89"/>
      <c r="J565" s="89"/>
      <c r="S565" s="13"/>
      <c r="T565" s="13"/>
      <c r="U565" s="13"/>
      <c r="V565" s="13"/>
      <c r="W565" s="13"/>
      <c r="X565" s="13"/>
      <c r="Y565" s="13"/>
      <c r="Z565" s="13"/>
      <c r="AA565" s="13"/>
      <c r="AB565" s="13"/>
    </row>
    <row r="566" hidden="1">
      <c r="C566" s="89"/>
      <c r="D566" s="89"/>
      <c r="G566" s="56"/>
      <c r="H566" s="89"/>
      <c r="I566" s="89"/>
      <c r="J566" s="89"/>
      <c r="S566" s="13"/>
      <c r="T566" s="13"/>
      <c r="U566" s="13"/>
      <c r="V566" s="13"/>
      <c r="W566" s="13"/>
      <c r="X566" s="13"/>
      <c r="Y566" s="13"/>
      <c r="Z566" s="13"/>
      <c r="AA566" s="13"/>
      <c r="AB566" s="13"/>
    </row>
    <row r="567" hidden="1">
      <c r="C567" s="89"/>
      <c r="D567" s="89"/>
      <c r="G567" s="56"/>
      <c r="H567" s="89"/>
      <c r="I567" s="89"/>
      <c r="J567" s="89"/>
      <c r="S567" s="13"/>
      <c r="T567" s="13"/>
      <c r="U567" s="13"/>
      <c r="V567" s="13"/>
      <c r="W567" s="13"/>
      <c r="X567" s="13"/>
      <c r="Y567" s="13"/>
      <c r="Z567" s="13"/>
      <c r="AA567" s="13"/>
      <c r="AB567" s="13"/>
    </row>
    <row r="568" hidden="1">
      <c r="C568" s="89"/>
      <c r="D568" s="89"/>
      <c r="G568" s="56"/>
      <c r="H568" s="89"/>
      <c r="I568" s="89"/>
      <c r="J568" s="89"/>
      <c r="S568" s="13"/>
      <c r="T568" s="13"/>
      <c r="U568" s="13"/>
      <c r="V568" s="13"/>
      <c r="W568" s="13"/>
      <c r="X568" s="13"/>
      <c r="Y568" s="13"/>
      <c r="Z568" s="13"/>
      <c r="AA568" s="13"/>
      <c r="AB568" s="13"/>
    </row>
    <row r="569" hidden="1">
      <c r="C569" s="89"/>
      <c r="D569" s="89"/>
      <c r="G569" s="56"/>
      <c r="H569" s="89"/>
      <c r="I569" s="89"/>
      <c r="J569" s="89"/>
      <c r="S569" s="13"/>
      <c r="T569" s="13"/>
      <c r="U569" s="13"/>
      <c r="V569" s="13"/>
      <c r="W569" s="13"/>
      <c r="X569" s="13"/>
      <c r="Y569" s="13"/>
      <c r="Z569" s="13"/>
      <c r="AA569" s="13"/>
      <c r="AB569" s="13"/>
    </row>
    <row r="570" hidden="1">
      <c r="C570" s="89"/>
      <c r="D570" s="89"/>
      <c r="G570" s="56"/>
      <c r="H570" s="89"/>
      <c r="I570" s="89"/>
      <c r="J570" s="89"/>
      <c r="S570" s="13"/>
      <c r="T570" s="13"/>
      <c r="U570" s="13"/>
      <c r="V570" s="13"/>
      <c r="W570" s="13"/>
      <c r="X570" s="13"/>
      <c r="Y570" s="13"/>
      <c r="Z570" s="13"/>
      <c r="AA570" s="13"/>
      <c r="AB570" s="13"/>
    </row>
    <row r="571" hidden="1">
      <c r="C571" s="89"/>
      <c r="D571" s="89"/>
      <c r="G571" s="56"/>
      <c r="H571" s="89"/>
      <c r="I571" s="89"/>
      <c r="J571" s="89"/>
      <c r="S571" s="13"/>
      <c r="T571" s="13"/>
      <c r="U571" s="13"/>
      <c r="V571" s="13"/>
      <c r="W571" s="13"/>
      <c r="X571" s="13"/>
      <c r="Y571" s="13"/>
      <c r="Z571" s="13"/>
      <c r="AA571" s="13"/>
      <c r="AB571" s="13"/>
    </row>
    <row r="572" hidden="1">
      <c r="C572" s="89"/>
      <c r="D572" s="89"/>
      <c r="G572" s="56"/>
      <c r="H572" s="89"/>
      <c r="I572" s="89"/>
      <c r="J572" s="89"/>
      <c r="S572" s="13"/>
      <c r="T572" s="13"/>
      <c r="U572" s="13"/>
      <c r="V572" s="13"/>
      <c r="W572" s="13"/>
      <c r="X572" s="13"/>
      <c r="Y572" s="13"/>
      <c r="Z572" s="13"/>
      <c r="AA572" s="13"/>
      <c r="AB572" s="13"/>
    </row>
    <row r="573" hidden="1">
      <c r="C573" s="89"/>
      <c r="D573" s="89"/>
      <c r="G573" s="56"/>
      <c r="H573" s="89"/>
      <c r="I573" s="89"/>
      <c r="J573" s="89"/>
      <c r="S573" s="13"/>
      <c r="T573" s="13"/>
      <c r="U573" s="13"/>
      <c r="V573" s="13"/>
      <c r="W573" s="13"/>
      <c r="X573" s="13"/>
      <c r="Y573" s="13"/>
      <c r="Z573" s="13"/>
      <c r="AA573" s="13"/>
      <c r="AB573" s="13"/>
    </row>
    <row r="574" hidden="1">
      <c r="C574" s="89"/>
      <c r="D574" s="89"/>
      <c r="G574" s="56"/>
      <c r="H574" s="89"/>
      <c r="I574" s="89"/>
      <c r="J574" s="89"/>
      <c r="S574" s="13"/>
      <c r="T574" s="13"/>
      <c r="U574" s="13"/>
      <c r="V574" s="13"/>
      <c r="W574" s="13"/>
      <c r="X574" s="13"/>
      <c r="Y574" s="13"/>
      <c r="Z574" s="13"/>
      <c r="AA574" s="13"/>
      <c r="AB574" s="13"/>
    </row>
    <row r="575" hidden="1">
      <c r="C575" s="89"/>
      <c r="D575" s="89"/>
      <c r="G575" s="56"/>
      <c r="H575" s="89"/>
      <c r="I575" s="89"/>
      <c r="J575" s="89"/>
      <c r="S575" s="13"/>
      <c r="T575" s="13"/>
      <c r="U575" s="13"/>
      <c r="V575" s="13"/>
      <c r="W575" s="13"/>
      <c r="X575" s="13"/>
      <c r="Y575" s="13"/>
      <c r="Z575" s="13"/>
      <c r="AA575" s="13"/>
      <c r="AB575" s="13"/>
    </row>
    <row r="576" hidden="1">
      <c r="C576" s="89"/>
      <c r="D576" s="89"/>
      <c r="G576" s="56"/>
      <c r="H576" s="89"/>
      <c r="I576" s="89"/>
      <c r="J576" s="89"/>
      <c r="S576" s="13"/>
      <c r="T576" s="13"/>
      <c r="U576" s="13"/>
      <c r="V576" s="13"/>
      <c r="W576" s="13"/>
      <c r="X576" s="13"/>
      <c r="Y576" s="13"/>
      <c r="Z576" s="13"/>
      <c r="AA576" s="13"/>
      <c r="AB576" s="13"/>
    </row>
    <row r="577" hidden="1">
      <c r="C577" s="89"/>
      <c r="D577" s="89"/>
      <c r="G577" s="56"/>
      <c r="H577" s="89"/>
      <c r="I577" s="89"/>
      <c r="J577" s="89"/>
      <c r="S577" s="13"/>
      <c r="T577" s="13"/>
      <c r="U577" s="13"/>
      <c r="V577" s="13"/>
      <c r="W577" s="13"/>
      <c r="X577" s="13"/>
      <c r="Y577" s="13"/>
      <c r="Z577" s="13"/>
      <c r="AA577" s="13"/>
      <c r="AB577" s="13"/>
    </row>
    <row r="578" hidden="1">
      <c r="C578" s="89"/>
      <c r="D578" s="89"/>
      <c r="G578" s="56"/>
      <c r="H578" s="89"/>
      <c r="I578" s="89"/>
      <c r="J578" s="89"/>
      <c r="S578" s="13"/>
      <c r="T578" s="13"/>
      <c r="U578" s="13"/>
      <c r="V578" s="13"/>
      <c r="W578" s="13"/>
      <c r="X578" s="13"/>
      <c r="Y578" s="13"/>
      <c r="Z578" s="13"/>
      <c r="AA578" s="13"/>
      <c r="AB578" s="13"/>
    </row>
    <row r="579" hidden="1">
      <c r="C579" s="89"/>
      <c r="D579" s="89"/>
      <c r="G579" s="56"/>
      <c r="H579" s="89"/>
      <c r="I579" s="89"/>
      <c r="J579" s="89"/>
      <c r="S579" s="13"/>
      <c r="T579" s="13"/>
      <c r="U579" s="13"/>
      <c r="V579" s="13"/>
      <c r="W579" s="13"/>
      <c r="X579" s="13"/>
      <c r="Y579" s="13"/>
      <c r="Z579" s="13"/>
      <c r="AA579" s="13"/>
      <c r="AB579" s="13"/>
    </row>
    <row r="580" hidden="1">
      <c r="C580" s="89"/>
      <c r="D580" s="89"/>
      <c r="G580" s="56"/>
      <c r="H580" s="89"/>
      <c r="I580" s="89"/>
      <c r="J580" s="89"/>
      <c r="S580" s="13"/>
      <c r="T580" s="13"/>
      <c r="U580" s="13"/>
      <c r="V580" s="13"/>
      <c r="W580" s="13"/>
      <c r="X580" s="13"/>
      <c r="Y580" s="13"/>
      <c r="Z580" s="13"/>
      <c r="AA580" s="13"/>
      <c r="AB580" s="13"/>
    </row>
    <row r="581" hidden="1">
      <c r="C581" s="89"/>
      <c r="D581" s="89"/>
      <c r="G581" s="56"/>
      <c r="H581" s="89"/>
      <c r="I581" s="89"/>
      <c r="J581" s="89"/>
      <c r="S581" s="13"/>
      <c r="T581" s="13"/>
      <c r="U581" s="13"/>
      <c r="V581" s="13"/>
      <c r="W581" s="13"/>
      <c r="X581" s="13"/>
      <c r="Y581" s="13"/>
      <c r="Z581" s="13"/>
      <c r="AA581" s="13"/>
      <c r="AB581" s="13"/>
    </row>
    <row r="582" hidden="1">
      <c r="C582" s="89"/>
      <c r="D582" s="89"/>
      <c r="G582" s="56"/>
      <c r="H582" s="89"/>
      <c r="I582" s="89"/>
      <c r="J582" s="89"/>
      <c r="S582" s="13"/>
      <c r="T582" s="13"/>
      <c r="U582" s="13"/>
      <c r="V582" s="13"/>
      <c r="W582" s="13"/>
      <c r="X582" s="13"/>
      <c r="Y582" s="13"/>
      <c r="Z582" s="13"/>
      <c r="AA582" s="13"/>
      <c r="AB582" s="13"/>
    </row>
    <row r="583" hidden="1">
      <c r="C583" s="89"/>
      <c r="D583" s="89"/>
      <c r="G583" s="56"/>
      <c r="H583" s="89"/>
      <c r="I583" s="89"/>
      <c r="J583" s="89"/>
      <c r="S583" s="13"/>
      <c r="T583" s="13"/>
      <c r="U583" s="13"/>
      <c r="V583" s="13"/>
      <c r="W583" s="13"/>
      <c r="X583" s="13"/>
      <c r="Y583" s="13"/>
      <c r="Z583" s="13"/>
      <c r="AA583" s="13"/>
      <c r="AB583" s="13"/>
    </row>
    <row r="584" hidden="1">
      <c r="C584" s="89"/>
      <c r="D584" s="89"/>
      <c r="G584" s="56"/>
      <c r="H584" s="89"/>
      <c r="I584" s="89"/>
      <c r="J584" s="89"/>
      <c r="S584" s="13"/>
      <c r="T584" s="13"/>
      <c r="U584" s="13"/>
      <c r="V584" s="13"/>
      <c r="W584" s="13"/>
      <c r="X584" s="13"/>
      <c r="Y584" s="13"/>
      <c r="Z584" s="13"/>
      <c r="AA584" s="13"/>
      <c r="AB584" s="13"/>
    </row>
    <row r="585" hidden="1">
      <c r="C585" s="89"/>
      <c r="D585" s="89"/>
      <c r="G585" s="56"/>
      <c r="H585" s="89"/>
      <c r="I585" s="89"/>
      <c r="J585" s="89"/>
      <c r="S585" s="13"/>
      <c r="T585" s="13"/>
      <c r="U585" s="13"/>
      <c r="V585" s="13"/>
      <c r="W585" s="13"/>
      <c r="X585" s="13"/>
      <c r="Y585" s="13"/>
      <c r="Z585" s="13"/>
      <c r="AA585" s="13"/>
      <c r="AB585" s="13"/>
    </row>
    <row r="586" hidden="1">
      <c r="C586" s="89"/>
      <c r="D586" s="89"/>
      <c r="G586" s="56"/>
      <c r="H586" s="89"/>
      <c r="I586" s="89"/>
      <c r="J586" s="89"/>
      <c r="S586" s="13"/>
      <c r="T586" s="13"/>
      <c r="U586" s="13"/>
      <c r="V586" s="13"/>
      <c r="W586" s="13"/>
      <c r="X586" s="13"/>
      <c r="Y586" s="13"/>
      <c r="Z586" s="13"/>
      <c r="AA586" s="13"/>
      <c r="AB586" s="13"/>
    </row>
    <row r="587" hidden="1">
      <c r="C587" s="89"/>
      <c r="D587" s="89"/>
      <c r="G587" s="56"/>
      <c r="H587" s="89"/>
      <c r="I587" s="89"/>
      <c r="J587" s="89"/>
      <c r="S587" s="13"/>
      <c r="T587" s="13"/>
      <c r="U587" s="13"/>
      <c r="V587" s="13"/>
      <c r="W587" s="13"/>
      <c r="X587" s="13"/>
      <c r="Y587" s="13"/>
      <c r="Z587" s="13"/>
      <c r="AA587" s="13"/>
      <c r="AB587" s="13"/>
    </row>
    <row r="588" hidden="1">
      <c r="C588" s="89"/>
      <c r="D588" s="89"/>
      <c r="G588" s="56"/>
      <c r="H588" s="89"/>
      <c r="I588" s="89"/>
      <c r="J588" s="89"/>
      <c r="S588" s="13"/>
      <c r="T588" s="13"/>
      <c r="U588" s="13"/>
      <c r="V588" s="13"/>
      <c r="W588" s="13"/>
      <c r="X588" s="13"/>
      <c r="Y588" s="13"/>
      <c r="Z588" s="13"/>
      <c r="AA588" s="13"/>
      <c r="AB588" s="13"/>
    </row>
    <row r="589" hidden="1">
      <c r="C589" s="89"/>
      <c r="D589" s="89"/>
      <c r="G589" s="56"/>
      <c r="H589" s="89"/>
      <c r="I589" s="89"/>
      <c r="J589" s="89"/>
      <c r="S589" s="13"/>
      <c r="T589" s="13"/>
      <c r="U589" s="13"/>
      <c r="V589" s="13"/>
      <c r="W589" s="13"/>
      <c r="X589" s="13"/>
      <c r="Y589" s="13"/>
      <c r="Z589" s="13"/>
      <c r="AA589" s="13"/>
      <c r="AB589" s="13"/>
    </row>
    <row r="590" hidden="1">
      <c r="C590" s="89"/>
      <c r="D590" s="89"/>
      <c r="G590" s="56"/>
      <c r="H590" s="89"/>
      <c r="I590" s="89"/>
      <c r="J590" s="89"/>
      <c r="S590" s="13"/>
      <c r="T590" s="13"/>
      <c r="U590" s="13"/>
      <c r="V590" s="13"/>
      <c r="W590" s="13"/>
      <c r="X590" s="13"/>
      <c r="Y590" s="13"/>
      <c r="Z590" s="13"/>
      <c r="AA590" s="13"/>
      <c r="AB590" s="13"/>
    </row>
    <row r="591" hidden="1">
      <c r="C591" s="89"/>
      <c r="D591" s="89"/>
      <c r="G591" s="56"/>
      <c r="H591" s="89"/>
      <c r="I591" s="89"/>
      <c r="J591" s="89"/>
      <c r="S591" s="13"/>
      <c r="T591" s="13"/>
      <c r="U591" s="13"/>
      <c r="V591" s="13"/>
      <c r="W591" s="13"/>
      <c r="X591" s="13"/>
      <c r="Y591" s="13"/>
      <c r="Z591" s="13"/>
      <c r="AA591" s="13"/>
      <c r="AB591" s="13"/>
    </row>
    <row r="592" hidden="1">
      <c r="C592" s="89"/>
      <c r="D592" s="89"/>
      <c r="G592" s="56"/>
      <c r="H592" s="89"/>
      <c r="I592" s="89"/>
      <c r="J592" s="89"/>
      <c r="S592" s="13"/>
      <c r="T592" s="13"/>
      <c r="U592" s="13"/>
      <c r="V592" s="13"/>
      <c r="W592" s="13"/>
      <c r="X592" s="13"/>
      <c r="Y592" s="13"/>
      <c r="Z592" s="13"/>
      <c r="AA592" s="13"/>
      <c r="AB592" s="13"/>
    </row>
    <row r="593" hidden="1">
      <c r="C593" s="89"/>
      <c r="D593" s="89"/>
      <c r="G593" s="56"/>
      <c r="H593" s="89"/>
      <c r="I593" s="89"/>
      <c r="J593" s="89"/>
      <c r="S593" s="13"/>
      <c r="T593" s="13"/>
      <c r="U593" s="13"/>
      <c r="V593" s="13"/>
      <c r="W593" s="13"/>
      <c r="X593" s="13"/>
      <c r="Y593" s="13"/>
      <c r="Z593" s="13"/>
      <c r="AA593" s="13"/>
      <c r="AB593" s="13"/>
    </row>
    <row r="594" hidden="1">
      <c r="C594" s="89"/>
      <c r="D594" s="89"/>
      <c r="G594" s="56"/>
      <c r="H594" s="89"/>
      <c r="I594" s="89"/>
      <c r="J594" s="89"/>
      <c r="S594" s="13"/>
      <c r="T594" s="13"/>
      <c r="U594" s="13"/>
      <c r="V594" s="13"/>
      <c r="W594" s="13"/>
      <c r="X594" s="13"/>
      <c r="Y594" s="13"/>
      <c r="Z594" s="13"/>
      <c r="AA594" s="13"/>
      <c r="AB594" s="13"/>
    </row>
    <row r="595" hidden="1">
      <c r="C595" s="89"/>
      <c r="D595" s="89"/>
      <c r="G595" s="56"/>
      <c r="H595" s="89"/>
      <c r="I595" s="89"/>
      <c r="J595" s="89"/>
      <c r="S595" s="13"/>
      <c r="T595" s="13"/>
      <c r="U595" s="13"/>
      <c r="V595" s="13"/>
      <c r="W595" s="13"/>
      <c r="X595" s="13"/>
      <c r="Y595" s="13"/>
      <c r="Z595" s="13"/>
      <c r="AA595" s="13"/>
      <c r="AB595" s="13"/>
    </row>
    <row r="596" hidden="1">
      <c r="C596" s="89"/>
      <c r="D596" s="89"/>
      <c r="G596" s="56"/>
      <c r="H596" s="89"/>
      <c r="I596" s="89"/>
      <c r="J596" s="89"/>
      <c r="S596" s="13"/>
      <c r="T596" s="13"/>
      <c r="U596" s="13"/>
      <c r="V596" s="13"/>
      <c r="W596" s="13"/>
      <c r="X596" s="13"/>
      <c r="Y596" s="13"/>
      <c r="Z596" s="13"/>
      <c r="AA596" s="13"/>
      <c r="AB596" s="13"/>
    </row>
    <row r="597" hidden="1">
      <c r="C597" s="89"/>
      <c r="D597" s="89"/>
      <c r="G597" s="56"/>
      <c r="H597" s="89"/>
      <c r="I597" s="89"/>
      <c r="J597" s="89"/>
      <c r="S597" s="13"/>
      <c r="T597" s="13"/>
      <c r="U597" s="13"/>
      <c r="V597" s="13"/>
      <c r="W597" s="13"/>
      <c r="X597" s="13"/>
      <c r="Y597" s="13"/>
      <c r="Z597" s="13"/>
      <c r="AA597" s="13"/>
      <c r="AB597" s="13"/>
    </row>
    <row r="598" hidden="1">
      <c r="C598" s="89"/>
      <c r="D598" s="89"/>
      <c r="G598" s="56"/>
      <c r="H598" s="89"/>
      <c r="I598" s="89"/>
      <c r="J598" s="89"/>
      <c r="S598" s="13"/>
      <c r="T598" s="13"/>
      <c r="U598" s="13"/>
      <c r="V598" s="13"/>
      <c r="W598" s="13"/>
      <c r="X598" s="13"/>
      <c r="Y598" s="13"/>
      <c r="Z598" s="13"/>
      <c r="AA598" s="13"/>
      <c r="AB598" s="13"/>
    </row>
    <row r="599" hidden="1">
      <c r="C599" s="89"/>
      <c r="D599" s="89"/>
      <c r="G599" s="56"/>
      <c r="H599" s="89"/>
      <c r="I599" s="89"/>
      <c r="J599" s="89"/>
      <c r="S599" s="13"/>
      <c r="T599" s="13"/>
      <c r="U599" s="13"/>
      <c r="V599" s="13"/>
      <c r="W599" s="13"/>
      <c r="X599" s="13"/>
      <c r="Y599" s="13"/>
      <c r="Z599" s="13"/>
      <c r="AA599" s="13"/>
      <c r="AB599" s="13"/>
    </row>
    <row r="600" hidden="1">
      <c r="C600" s="89"/>
      <c r="D600" s="89"/>
      <c r="G600" s="56"/>
      <c r="H600" s="89"/>
      <c r="I600" s="89"/>
      <c r="J600" s="89"/>
      <c r="S600" s="13"/>
      <c r="T600" s="13"/>
      <c r="U600" s="13"/>
      <c r="V600" s="13"/>
      <c r="W600" s="13"/>
      <c r="X600" s="13"/>
      <c r="Y600" s="13"/>
      <c r="Z600" s="13"/>
      <c r="AA600" s="13"/>
      <c r="AB600" s="13"/>
    </row>
    <row r="601" hidden="1">
      <c r="C601" s="89"/>
      <c r="D601" s="89"/>
      <c r="G601" s="56"/>
      <c r="H601" s="89"/>
      <c r="I601" s="89"/>
      <c r="J601" s="89"/>
      <c r="S601" s="13"/>
      <c r="T601" s="13"/>
      <c r="U601" s="13"/>
      <c r="V601" s="13"/>
      <c r="W601" s="13"/>
      <c r="X601" s="13"/>
      <c r="Y601" s="13"/>
      <c r="Z601" s="13"/>
      <c r="AA601" s="13"/>
      <c r="AB601" s="13"/>
    </row>
    <row r="602" hidden="1">
      <c r="C602" s="89"/>
      <c r="D602" s="89"/>
      <c r="G602" s="56"/>
      <c r="H602" s="89"/>
      <c r="I602" s="89"/>
      <c r="J602" s="89"/>
      <c r="S602" s="13"/>
      <c r="T602" s="13"/>
      <c r="U602" s="13"/>
      <c r="V602" s="13"/>
      <c r="W602" s="13"/>
      <c r="X602" s="13"/>
      <c r="Y602" s="13"/>
      <c r="Z602" s="13"/>
      <c r="AA602" s="13"/>
      <c r="AB602" s="13"/>
    </row>
    <row r="603" hidden="1">
      <c r="C603" s="89"/>
      <c r="D603" s="89"/>
      <c r="G603" s="56"/>
      <c r="H603" s="89"/>
      <c r="I603" s="89"/>
      <c r="J603" s="89"/>
      <c r="S603" s="13"/>
      <c r="T603" s="13"/>
      <c r="U603" s="13"/>
      <c r="V603" s="13"/>
      <c r="W603" s="13"/>
      <c r="X603" s="13"/>
      <c r="Y603" s="13"/>
      <c r="Z603" s="13"/>
      <c r="AA603" s="13"/>
      <c r="AB603" s="13"/>
    </row>
    <row r="604" hidden="1">
      <c r="C604" s="89"/>
      <c r="D604" s="89"/>
      <c r="G604" s="56"/>
      <c r="H604" s="89"/>
      <c r="I604" s="89"/>
      <c r="J604" s="89"/>
      <c r="S604" s="13"/>
      <c r="T604" s="13"/>
      <c r="U604" s="13"/>
      <c r="V604" s="13"/>
      <c r="W604" s="13"/>
      <c r="X604" s="13"/>
      <c r="Y604" s="13"/>
      <c r="Z604" s="13"/>
      <c r="AA604" s="13"/>
      <c r="AB604" s="13"/>
    </row>
    <row r="605" hidden="1">
      <c r="C605" s="89"/>
      <c r="D605" s="89"/>
      <c r="G605" s="56"/>
      <c r="H605" s="89"/>
      <c r="I605" s="89"/>
      <c r="J605" s="89"/>
      <c r="S605" s="13"/>
      <c r="T605" s="13"/>
      <c r="U605" s="13"/>
      <c r="V605" s="13"/>
      <c r="W605" s="13"/>
      <c r="X605" s="13"/>
      <c r="Y605" s="13"/>
      <c r="Z605" s="13"/>
      <c r="AA605" s="13"/>
      <c r="AB605" s="13"/>
    </row>
    <row r="606" hidden="1">
      <c r="C606" s="89"/>
      <c r="D606" s="89"/>
      <c r="G606" s="56"/>
      <c r="H606" s="89"/>
      <c r="I606" s="89"/>
      <c r="J606" s="89"/>
      <c r="S606" s="13"/>
      <c r="T606" s="13"/>
      <c r="U606" s="13"/>
      <c r="V606" s="13"/>
      <c r="W606" s="13"/>
      <c r="X606" s="13"/>
      <c r="Y606" s="13"/>
      <c r="Z606" s="13"/>
      <c r="AA606" s="13"/>
      <c r="AB606" s="13"/>
    </row>
    <row r="607" hidden="1">
      <c r="C607" s="89"/>
      <c r="D607" s="89"/>
      <c r="G607" s="56"/>
      <c r="H607" s="89"/>
      <c r="I607" s="89"/>
      <c r="J607" s="89"/>
      <c r="S607" s="13"/>
      <c r="T607" s="13"/>
      <c r="U607" s="13"/>
      <c r="V607" s="13"/>
      <c r="W607" s="13"/>
      <c r="X607" s="13"/>
      <c r="Y607" s="13"/>
      <c r="Z607" s="13"/>
      <c r="AA607" s="13"/>
      <c r="AB607" s="13"/>
    </row>
    <row r="608" hidden="1">
      <c r="C608" s="89"/>
      <c r="D608" s="89"/>
      <c r="G608" s="56"/>
      <c r="H608" s="89"/>
      <c r="I608" s="89"/>
      <c r="J608" s="89"/>
      <c r="S608" s="13"/>
      <c r="T608" s="13"/>
      <c r="U608" s="13"/>
      <c r="V608" s="13"/>
      <c r="W608" s="13"/>
      <c r="X608" s="13"/>
      <c r="Y608" s="13"/>
      <c r="Z608" s="13"/>
      <c r="AA608" s="13"/>
      <c r="AB608" s="13"/>
    </row>
    <row r="609" hidden="1">
      <c r="C609" s="89"/>
      <c r="D609" s="89"/>
      <c r="G609" s="56"/>
      <c r="H609" s="89"/>
      <c r="I609" s="89"/>
      <c r="J609" s="89"/>
      <c r="S609" s="13"/>
      <c r="T609" s="13"/>
      <c r="U609" s="13"/>
      <c r="V609" s="13"/>
      <c r="W609" s="13"/>
      <c r="X609" s="13"/>
      <c r="Y609" s="13"/>
      <c r="Z609" s="13"/>
      <c r="AA609" s="13"/>
      <c r="AB609" s="13"/>
    </row>
    <row r="610" hidden="1">
      <c r="C610" s="89"/>
      <c r="D610" s="89"/>
      <c r="G610" s="56"/>
      <c r="H610" s="89"/>
      <c r="I610" s="89"/>
      <c r="J610" s="89"/>
      <c r="S610" s="13"/>
      <c r="T610" s="13"/>
      <c r="U610" s="13"/>
      <c r="V610" s="13"/>
      <c r="W610" s="13"/>
      <c r="X610" s="13"/>
      <c r="Y610" s="13"/>
      <c r="Z610" s="13"/>
      <c r="AA610" s="13"/>
      <c r="AB610" s="13"/>
    </row>
    <row r="611" hidden="1">
      <c r="C611" s="89"/>
      <c r="D611" s="89"/>
      <c r="G611" s="56"/>
      <c r="H611" s="89"/>
      <c r="I611" s="89"/>
      <c r="J611" s="89"/>
      <c r="S611" s="13"/>
      <c r="T611" s="13"/>
      <c r="U611" s="13"/>
      <c r="V611" s="13"/>
      <c r="W611" s="13"/>
      <c r="X611" s="13"/>
      <c r="Y611" s="13"/>
      <c r="Z611" s="13"/>
      <c r="AA611" s="13"/>
      <c r="AB611" s="13"/>
    </row>
    <row r="612" hidden="1">
      <c r="C612" s="89"/>
      <c r="D612" s="89"/>
      <c r="G612" s="56"/>
      <c r="H612" s="89"/>
      <c r="I612" s="89"/>
      <c r="J612" s="89"/>
      <c r="S612" s="13"/>
      <c r="T612" s="13"/>
      <c r="U612" s="13"/>
      <c r="V612" s="13"/>
      <c r="W612" s="13"/>
      <c r="X612" s="13"/>
      <c r="Y612" s="13"/>
      <c r="Z612" s="13"/>
      <c r="AA612" s="13"/>
      <c r="AB612" s="13"/>
    </row>
    <row r="613" hidden="1">
      <c r="C613" s="89"/>
      <c r="D613" s="89"/>
      <c r="G613" s="56"/>
      <c r="H613" s="89"/>
      <c r="I613" s="89"/>
      <c r="J613" s="89"/>
      <c r="S613" s="13"/>
      <c r="T613" s="13"/>
      <c r="U613" s="13"/>
      <c r="V613" s="13"/>
      <c r="W613" s="13"/>
      <c r="X613" s="13"/>
      <c r="Y613" s="13"/>
      <c r="Z613" s="13"/>
      <c r="AA613" s="13"/>
      <c r="AB613" s="13"/>
    </row>
    <row r="614" hidden="1">
      <c r="C614" s="89"/>
      <c r="D614" s="89"/>
      <c r="G614" s="56"/>
      <c r="H614" s="89"/>
      <c r="I614" s="89"/>
      <c r="J614" s="89"/>
      <c r="S614" s="13"/>
      <c r="T614" s="13"/>
      <c r="U614" s="13"/>
      <c r="V614" s="13"/>
      <c r="W614" s="13"/>
      <c r="X614" s="13"/>
      <c r="Y614" s="13"/>
      <c r="Z614" s="13"/>
      <c r="AA614" s="13"/>
      <c r="AB614" s="13"/>
    </row>
    <row r="615" hidden="1">
      <c r="C615" s="89"/>
      <c r="D615" s="89"/>
      <c r="G615" s="56"/>
      <c r="H615" s="89"/>
      <c r="I615" s="89"/>
      <c r="J615" s="89"/>
      <c r="S615" s="13"/>
      <c r="T615" s="13"/>
      <c r="U615" s="13"/>
      <c r="V615" s="13"/>
      <c r="W615" s="13"/>
      <c r="X615" s="13"/>
      <c r="Y615" s="13"/>
      <c r="Z615" s="13"/>
      <c r="AA615" s="13"/>
      <c r="AB615" s="13"/>
    </row>
    <row r="616" hidden="1">
      <c r="C616" s="89"/>
      <c r="D616" s="89"/>
      <c r="G616" s="56"/>
      <c r="H616" s="89"/>
      <c r="I616" s="89"/>
      <c r="J616" s="89"/>
      <c r="S616" s="13"/>
      <c r="T616" s="13"/>
      <c r="U616" s="13"/>
      <c r="V616" s="13"/>
      <c r="W616" s="13"/>
      <c r="X616" s="13"/>
      <c r="Y616" s="13"/>
      <c r="Z616" s="13"/>
      <c r="AA616" s="13"/>
      <c r="AB616" s="13"/>
    </row>
    <row r="617" hidden="1">
      <c r="C617" s="89"/>
      <c r="D617" s="89"/>
      <c r="G617" s="56"/>
      <c r="H617" s="89"/>
      <c r="I617" s="89"/>
      <c r="J617" s="89"/>
      <c r="S617" s="13"/>
      <c r="T617" s="13"/>
      <c r="U617" s="13"/>
      <c r="V617" s="13"/>
      <c r="W617" s="13"/>
      <c r="X617" s="13"/>
      <c r="Y617" s="13"/>
      <c r="Z617" s="13"/>
      <c r="AA617" s="13"/>
      <c r="AB617" s="13"/>
    </row>
    <row r="618" hidden="1">
      <c r="C618" s="89"/>
      <c r="D618" s="89"/>
      <c r="G618" s="56"/>
      <c r="H618" s="89"/>
      <c r="I618" s="89"/>
      <c r="J618" s="89"/>
      <c r="S618" s="13"/>
      <c r="T618" s="13"/>
      <c r="U618" s="13"/>
      <c r="V618" s="13"/>
      <c r="W618" s="13"/>
      <c r="X618" s="13"/>
      <c r="Y618" s="13"/>
      <c r="Z618" s="13"/>
      <c r="AA618" s="13"/>
      <c r="AB618" s="13"/>
    </row>
    <row r="619" hidden="1">
      <c r="C619" s="89"/>
      <c r="D619" s="89"/>
      <c r="G619" s="56"/>
      <c r="H619" s="89"/>
      <c r="I619" s="89"/>
      <c r="J619" s="89"/>
      <c r="S619" s="13"/>
      <c r="T619" s="13"/>
      <c r="U619" s="13"/>
      <c r="V619" s="13"/>
      <c r="W619" s="13"/>
      <c r="X619" s="13"/>
      <c r="Y619" s="13"/>
      <c r="Z619" s="13"/>
      <c r="AA619" s="13"/>
      <c r="AB619" s="13"/>
    </row>
    <row r="620" hidden="1">
      <c r="C620" s="89"/>
      <c r="D620" s="89"/>
      <c r="G620" s="56"/>
      <c r="H620" s="89"/>
      <c r="I620" s="89"/>
      <c r="J620" s="89"/>
      <c r="S620" s="13"/>
      <c r="T620" s="13"/>
      <c r="U620" s="13"/>
      <c r="V620" s="13"/>
      <c r="W620" s="13"/>
      <c r="X620" s="13"/>
      <c r="Y620" s="13"/>
      <c r="Z620" s="13"/>
      <c r="AA620" s="13"/>
      <c r="AB620" s="13"/>
    </row>
    <row r="621" hidden="1">
      <c r="C621" s="89"/>
      <c r="D621" s="89"/>
      <c r="G621" s="56"/>
      <c r="H621" s="89"/>
      <c r="I621" s="89"/>
      <c r="J621" s="89"/>
      <c r="S621" s="13"/>
      <c r="T621" s="13"/>
      <c r="U621" s="13"/>
      <c r="V621" s="13"/>
      <c r="W621" s="13"/>
      <c r="X621" s="13"/>
      <c r="Y621" s="13"/>
      <c r="Z621" s="13"/>
      <c r="AA621" s="13"/>
      <c r="AB621" s="13"/>
    </row>
    <row r="622" hidden="1">
      <c r="C622" s="89"/>
      <c r="D622" s="89"/>
      <c r="G622" s="56"/>
      <c r="H622" s="89"/>
      <c r="I622" s="89"/>
      <c r="J622" s="89"/>
      <c r="S622" s="13"/>
      <c r="T622" s="13"/>
      <c r="U622" s="13"/>
      <c r="V622" s="13"/>
      <c r="W622" s="13"/>
      <c r="X622" s="13"/>
      <c r="Y622" s="13"/>
      <c r="Z622" s="13"/>
      <c r="AA622" s="13"/>
      <c r="AB622" s="13"/>
    </row>
    <row r="623" hidden="1">
      <c r="C623" s="89"/>
      <c r="D623" s="89"/>
      <c r="G623" s="56"/>
      <c r="H623" s="89"/>
      <c r="I623" s="89"/>
      <c r="J623" s="89"/>
      <c r="S623" s="13"/>
      <c r="T623" s="13"/>
      <c r="U623" s="13"/>
      <c r="V623" s="13"/>
      <c r="W623" s="13"/>
      <c r="X623" s="13"/>
      <c r="Y623" s="13"/>
      <c r="Z623" s="13"/>
      <c r="AA623" s="13"/>
      <c r="AB623" s="13"/>
    </row>
    <row r="624" hidden="1">
      <c r="C624" s="89"/>
      <c r="D624" s="89"/>
      <c r="G624" s="56"/>
      <c r="H624" s="89"/>
      <c r="I624" s="89"/>
      <c r="J624" s="89"/>
      <c r="S624" s="13"/>
      <c r="T624" s="13"/>
      <c r="U624" s="13"/>
      <c r="V624" s="13"/>
      <c r="W624" s="13"/>
      <c r="X624" s="13"/>
      <c r="Y624" s="13"/>
      <c r="Z624" s="13"/>
      <c r="AA624" s="13"/>
      <c r="AB624" s="13"/>
    </row>
    <row r="625" hidden="1">
      <c r="C625" s="89"/>
      <c r="D625" s="89"/>
      <c r="G625" s="56"/>
      <c r="H625" s="89"/>
      <c r="I625" s="89"/>
      <c r="J625" s="89"/>
      <c r="S625" s="13"/>
      <c r="T625" s="13"/>
      <c r="U625" s="13"/>
      <c r="V625" s="13"/>
      <c r="W625" s="13"/>
      <c r="X625" s="13"/>
      <c r="Y625" s="13"/>
      <c r="Z625" s="13"/>
      <c r="AA625" s="13"/>
      <c r="AB625" s="13"/>
    </row>
    <row r="626" hidden="1">
      <c r="C626" s="89"/>
      <c r="D626" s="89"/>
      <c r="G626" s="56"/>
      <c r="H626" s="89"/>
      <c r="I626" s="89"/>
      <c r="J626" s="89"/>
      <c r="S626" s="13"/>
      <c r="T626" s="13"/>
      <c r="U626" s="13"/>
      <c r="V626" s="13"/>
      <c r="W626" s="13"/>
      <c r="X626" s="13"/>
      <c r="Y626" s="13"/>
      <c r="Z626" s="13"/>
      <c r="AA626" s="13"/>
      <c r="AB626" s="13"/>
    </row>
    <row r="627" hidden="1">
      <c r="C627" s="89"/>
      <c r="D627" s="89"/>
      <c r="G627" s="56"/>
      <c r="H627" s="89"/>
      <c r="I627" s="89"/>
      <c r="J627" s="89"/>
      <c r="S627" s="13"/>
      <c r="T627" s="13"/>
      <c r="U627" s="13"/>
      <c r="V627" s="13"/>
      <c r="W627" s="13"/>
      <c r="X627" s="13"/>
      <c r="Y627" s="13"/>
      <c r="Z627" s="13"/>
      <c r="AA627" s="13"/>
      <c r="AB627" s="13"/>
    </row>
    <row r="628" hidden="1">
      <c r="C628" s="89"/>
      <c r="D628" s="89"/>
      <c r="G628" s="56"/>
      <c r="H628" s="89"/>
      <c r="I628" s="89"/>
      <c r="J628" s="89"/>
      <c r="S628" s="13"/>
      <c r="T628" s="13"/>
      <c r="U628" s="13"/>
      <c r="V628" s="13"/>
      <c r="W628" s="13"/>
      <c r="X628" s="13"/>
      <c r="Y628" s="13"/>
      <c r="Z628" s="13"/>
      <c r="AA628" s="13"/>
      <c r="AB628" s="13"/>
    </row>
    <row r="629" hidden="1">
      <c r="C629" s="89"/>
      <c r="D629" s="89"/>
      <c r="G629" s="56"/>
      <c r="H629" s="89"/>
      <c r="I629" s="89"/>
      <c r="J629" s="89"/>
      <c r="S629" s="13"/>
      <c r="T629" s="13"/>
      <c r="U629" s="13"/>
      <c r="V629" s="13"/>
      <c r="W629" s="13"/>
      <c r="X629" s="13"/>
      <c r="Y629" s="13"/>
      <c r="Z629" s="13"/>
      <c r="AA629" s="13"/>
      <c r="AB629" s="13"/>
    </row>
    <row r="630" hidden="1">
      <c r="C630" s="89"/>
      <c r="D630" s="89"/>
      <c r="G630" s="56"/>
      <c r="H630" s="89"/>
      <c r="I630" s="89"/>
      <c r="J630" s="89"/>
      <c r="S630" s="13"/>
      <c r="T630" s="13"/>
      <c r="U630" s="13"/>
      <c r="V630" s="13"/>
      <c r="W630" s="13"/>
      <c r="X630" s="13"/>
      <c r="Y630" s="13"/>
      <c r="Z630" s="13"/>
      <c r="AA630" s="13"/>
      <c r="AB630" s="13"/>
    </row>
    <row r="631" hidden="1">
      <c r="C631" s="89"/>
      <c r="D631" s="89"/>
      <c r="G631" s="56"/>
      <c r="H631" s="89"/>
      <c r="I631" s="89"/>
      <c r="J631" s="89"/>
      <c r="S631" s="13"/>
      <c r="T631" s="13"/>
      <c r="U631" s="13"/>
      <c r="V631" s="13"/>
      <c r="W631" s="13"/>
      <c r="X631" s="13"/>
      <c r="Y631" s="13"/>
      <c r="Z631" s="13"/>
      <c r="AA631" s="13"/>
      <c r="AB631" s="13"/>
    </row>
    <row r="632" hidden="1">
      <c r="C632" s="89"/>
      <c r="D632" s="89"/>
      <c r="G632" s="56"/>
      <c r="H632" s="89"/>
      <c r="I632" s="89"/>
      <c r="J632" s="89"/>
      <c r="S632" s="13"/>
      <c r="T632" s="13"/>
      <c r="U632" s="13"/>
      <c r="V632" s="13"/>
      <c r="W632" s="13"/>
      <c r="X632" s="13"/>
      <c r="Y632" s="13"/>
      <c r="Z632" s="13"/>
      <c r="AA632" s="13"/>
      <c r="AB632" s="13"/>
    </row>
    <row r="633" hidden="1">
      <c r="C633" s="89"/>
      <c r="D633" s="89"/>
      <c r="G633" s="56"/>
      <c r="H633" s="89"/>
      <c r="I633" s="89"/>
      <c r="J633" s="89"/>
      <c r="S633" s="13"/>
      <c r="T633" s="13"/>
      <c r="U633" s="13"/>
      <c r="V633" s="13"/>
      <c r="W633" s="13"/>
      <c r="X633" s="13"/>
      <c r="Y633" s="13"/>
      <c r="Z633" s="13"/>
      <c r="AA633" s="13"/>
      <c r="AB633" s="13"/>
    </row>
    <row r="634" hidden="1">
      <c r="C634" s="89"/>
      <c r="D634" s="89"/>
      <c r="G634" s="56"/>
      <c r="H634" s="89"/>
      <c r="I634" s="89"/>
      <c r="J634" s="89"/>
      <c r="S634" s="13"/>
      <c r="T634" s="13"/>
      <c r="U634" s="13"/>
      <c r="V634" s="13"/>
      <c r="W634" s="13"/>
      <c r="X634" s="13"/>
      <c r="Y634" s="13"/>
      <c r="Z634" s="13"/>
      <c r="AA634" s="13"/>
      <c r="AB634" s="13"/>
    </row>
    <row r="635" hidden="1">
      <c r="C635" s="89"/>
      <c r="D635" s="89"/>
      <c r="G635" s="56"/>
      <c r="H635" s="89"/>
      <c r="I635" s="89"/>
      <c r="J635" s="89"/>
      <c r="S635" s="13"/>
      <c r="T635" s="13"/>
      <c r="U635" s="13"/>
      <c r="V635" s="13"/>
      <c r="W635" s="13"/>
      <c r="X635" s="13"/>
      <c r="Y635" s="13"/>
      <c r="Z635" s="13"/>
      <c r="AA635" s="13"/>
      <c r="AB635" s="13"/>
    </row>
    <row r="636" hidden="1">
      <c r="C636" s="89"/>
      <c r="D636" s="89"/>
      <c r="G636" s="56"/>
      <c r="H636" s="89"/>
      <c r="I636" s="89"/>
      <c r="J636" s="89"/>
      <c r="S636" s="13"/>
      <c r="T636" s="13"/>
      <c r="U636" s="13"/>
      <c r="V636" s="13"/>
      <c r="W636" s="13"/>
      <c r="X636" s="13"/>
      <c r="Y636" s="13"/>
      <c r="Z636" s="13"/>
      <c r="AA636" s="13"/>
      <c r="AB636" s="13"/>
    </row>
    <row r="637" hidden="1">
      <c r="C637" s="89"/>
      <c r="D637" s="89"/>
      <c r="G637" s="56"/>
      <c r="H637" s="89"/>
      <c r="I637" s="89"/>
      <c r="J637" s="89"/>
      <c r="S637" s="13"/>
      <c r="T637" s="13"/>
      <c r="U637" s="13"/>
      <c r="V637" s="13"/>
      <c r="W637" s="13"/>
      <c r="X637" s="13"/>
      <c r="Y637" s="13"/>
      <c r="Z637" s="13"/>
      <c r="AA637" s="13"/>
      <c r="AB637" s="13"/>
    </row>
    <row r="638" hidden="1">
      <c r="C638" s="89"/>
      <c r="D638" s="89"/>
      <c r="G638" s="56"/>
      <c r="H638" s="89"/>
      <c r="I638" s="89"/>
      <c r="J638" s="89"/>
      <c r="S638" s="13"/>
      <c r="T638" s="13"/>
      <c r="U638" s="13"/>
      <c r="V638" s="13"/>
      <c r="W638" s="13"/>
      <c r="X638" s="13"/>
      <c r="Y638" s="13"/>
      <c r="Z638" s="13"/>
      <c r="AA638" s="13"/>
      <c r="AB638" s="13"/>
    </row>
    <row r="639" hidden="1">
      <c r="C639" s="89"/>
      <c r="D639" s="89"/>
      <c r="G639" s="56"/>
      <c r="H639" s="89"/>
      <c r="I639" s="89"/>
      <c r="J639" s="89"/>
      <c r="S639" s="13"/>
      <c r="T639" s="13"/>
      <c r="U639" s="13"/>
      <c r="V639" s="13"/>
      <c r="W639" s="13"/>
      <c r="X639" s="13"/>
      <c r="Y639" s="13"/>
      <c r="Z639" s="13"/>
      <c r="AA639" s="13"/>
      <c r="AB639" s="13"/>
    </row>
    <row r="640" hidden="1">
      <c r="C640" s="89"/>
      <c r="D640" s="89"/>
      <c r="G640" s="56"/>
      <c r="H640" s="89"/>
      <c r="I640" s="89"/>
      <c r="J640" s="89"/>
      <c r="S640" s="13"/>
      <c r="T640" s="13"/>
      <c r="U640" s="13"/>
      <c r="V640" s="13"/>
      <c r="W640" s="13"/>
      <c r="X640" s="13"/>
      <c r="Y640" s="13"/>
      <c r="Z640" s="13"/>
      <c r="AA640" s="13"/>
      <c r="AB640" s="13"/>
    </row>
    <row r="641" hidden="1">
      <c r="C641" s="89"/>
      <c r="D641" s="89"/>
      <c r="G641" s="56"/>
      <c r="H641" s="89"/>
      <c r="I641" s="89"/>
      <c r="J641" s="89"/>
      <c r="S641" s="13"/>
      <c r="T641" s="13"/>
      <c r="U641" s="13"/>
      <c r="V641" s="13"/>
      <c r="W641" s="13"/>
      <c r="X641" s="13"/>
      <c r="Y641" s="13"/>
      <c r="Z641" s="13"/>
      <c r="AA641" s="13"/>
      <c r="AB641" s="13"/>
    </row>
    <row r="642" hidden="1">
      <c r="C642" s="89"/>
      <c r="D642" s="89"/>
      <c r="G642" s="56"/>
      <c r="H642" s="89"/>
      <c r="I642" s="89"/>
      <c r="J642" s="89"/>
      <c r="S642" s="13"/>
      <c r="T642" s="13"/>
      <c r="U642" s="13"/>
      <c r="V642" s="13"/>
      <c r="W642" s="13"/>
      <c r="X642" s="13"/>
      <c r="Y642" s="13"/>
      <c r="Z642" s="13"/>
      <c r="AA642" s="13"/>
      <c r="AB642" s="13"/>
    </row>
    <row r="643" hidden="1">
      <c r="C643" s="89"/>
      <c r="D643" s="89"/>
      <c r="G643" s="56"/>
      <c r="H643" s="89"/>
      <c r="I643" s="89"/>
      <c r="J643" s="89"/>
      <c r="S643" s="13"/>
      <c r="T643" s="13"/>
      <c r="U643" s="13"/>
      <c r="V643" s="13"/>
      <c r="W643" s="13"/>
      <c r="X643" s="13"/>
      <c r="Y643" s="13"/>
      <c r="Z643" s="13"/>
      <c r="AA643" s="13"/>
      <c r="AB643" s="13"/>
    </row>
    <row r="644" hidden="1">
      <c r="C644" s="89"/>
      <c r="D644" s="89"/>
      <c r="G644" s="56"/>
      <c r="H644" s="89"/>
      <c r="I644" s="89"/>
      <c r="J644" s="89"/>
      <c r="S644" s="13"/>
      <c r="T644" s="13"/>
      <c r="U644" s="13"/>
      <c r="V644" s="13"/>
      <c r="W644" s="13"/>
      <c r="X644" s="13"/>
      <c r="Y644" s="13"/>
      <c r="Z644" s="13"/>
      <c r="AA644" s="13"/>
      <c r="AB644" s="13"/>
    </row>
    <row r="645" hidden="1">
      <c r="C645" s="89"/>
      <c r="D645" s="89"/>
      <c r="G645" s="56"/>
      <c r="H645" s="89"/>
      <c r="I645" s="89"/>
      <c r="J645" s="89"/>
      <c r="S645" s="13"/>
      <c r="T645" s="13"/>
      <c r="U645" s="13"/>
      <c r="V645" s="13"/>
      <c r="W645" s="13"/>
      <c r="X645" s="13"/>
      <c r="Y645" s="13"/>
      <c r="Z645" s="13"/>
      <c r="AA645" s="13"/>
      <c r="AB645" s="13"/>
    </row>
    <row r="646" hidden="1">
      <c r="C646" s="89"/>
      <c r="D646" s="89"/>
      <c r="G646" s="56"/>
      <c r="H646" s="89"/>
      <c r="I646" s="89"/>
      <c r="J646" s="89"/>
      <c r="S646" s="13"/>
      <c r="T646" s="13"/>
      <c r="U646" s="13"/>
      <c r="V646" s="13"/>
      <c r="W646" s="13"/>
      <c r="X646" s="13"/>
      <c r="Y646" s="13"/>
      <c r="Z646" s="13"/>
      <c r="AA646" s="13"/>
      <c r="AB646" s="13"/>
    </row>
    <row r="647" hidden="1">
      <c r="C647" s="89"/>
      <c r="D647" s="89"/>
      <c r="G647" s="56"/>
      <c r="H647" s="89"/>
      <c r="I647" s="89"/>
      <c r="J647" s="89"/>
      <c r="S647" s="13"/>
      <c r="T647" s="13"/>
      <c r="U647" s="13"/>
      <c r="V647" s="13"/>
      <c r="W647" s="13"/>
      <c r="X647" s="13"/>
      <c r="Y647" s="13"/>
      <c r="Z647" s="13"/>
      <c r="AA647" s="13"/>
      <c r="AB647" s="13"/>
    </row>
    <row r="648" hidden="1">
      <c r="C648" s="89"/>
      <c r="D648" s="89"/>
      <c r="G648" s="56"/>
      <c r="H648" s="89"/>
      <c r="I648" s="89"/>
      <c r="J648" s="89"/>
      <c r="S648" s="13"/>
      <c r="T648" s="13"/>
      <c r="U648" s="13"/>
      <c r="V648" s="13"/>
      <c r="W648" s="13"/>
      <c r="X648" s="13"/>
      <c r="Y648" s="13"/>
      <c r="Z648" s="13"/>
      <c r="AA648" s="13"/>
      <c r="AB648" s="13"/>
    </row>
    <row r="649" hidden="1">
      <c r="C649" s="89"/>
      <c r="D649" s="89"/>
      <c r="G649" s="56"/>
      <c r="H649" s="89"/>
      <c r="I649" s="89"/>
      <c r="J649" s="89"/>
      <c r="S649" s="13"/>
      <c r="T649" s="13"/>
      <c r="U649" s="13"/>
      <c r="V649" s="13"/>
      <c r="W649" s="13"/>
      <c r="X649" s="13"/>
      <c r="Y649" s="13"/>
      <c r="Z649" s="13"/>
      <c r="AA649" s="13"/>
      <c r="AB649" s="13"/>
    </row>
    <row r="650" hidden="1">
      <c r="C650" s="89"/>
      <c r="D650" s="89"/>
      <c r="G650" s="56"/>
      <c r="H650" s="89"/>
      <c r="I650" s="89"/>
      <c r="J650" s="89"/>
      <c r="S650" s="13"/>
      <c r="T650" s="13"/>
      <c r="U650" s="13"/>
      <c r="V650" s="13"/>
      <c r="W650" s="13"/>
      <c r="X650" s="13"/>
      <c r="Y650" s="13"/>
      <c r="Z650" s="13"/>
      <c r="AA650" s="13"/>
      <c r="AB650" s="13"/>
    </row>
    <row r="651" hidden="1">
      <c r="C651" s="89"/>
      <c r="D651" s="89"/>
      <c r="G651" s="56"/>
      <c r="H651" s="89"/>
      <c r="I651" s="89"/>
      <c r="J651" s="89"/>
      <c r="S651" s="13"/>
      <c r="T651" s="13"/>
      <c r="U651" s="13"/>
      <c r="V651" s="13"/>
      <c r="W651" s="13"/>
      <c r="X651" s="13"/>
      <c r="Y651" s="13"/>
      <c r="Z651" s="13"/>
      <c r="AA651" s="13"/>
      <c r="AB651" s="13"/>
    </row>
    <row r="652" hidden="1">
      <c r="C652" s="89"/>
      <c r="D652" s="89"/>
      <c r="G652" s="56"/>
      <c r="H652" s="89"/>
      <c r="I652" s="89"/>
      <c r="J652" s="89"/>
      <c r="S652" s="13"/>
      <c r="T652" s="13"/>
      <c r="U652" s="13"/>
      <c r="V652" s="13"/>
      <c r="W652" s="13"/>
      <c r="X652" s="13"/>
      <c r="Y652" s="13"/>
      <c r="Z652" s="13"/>
      <c r="AA652" s="13"/>
      <c r="AB652" s="13"/>
    </row>
    <row r="653" hidden="1">
      <c r="C653" s="89"/>
      <c r="D653" s="89"/>
      <c r="G653" s="56"/>
      <c r="H653" s="89"/>
      <c r="I653" s="89"/>
      <c r="J653" s="89"/>
      <c r="S653" s="13"/>
      <c r="T653" s="13"/>
      <c r="U653" s="13"/>
      <c r="V653" s="13"/>
      <c r="W653" s="13"/>
      <c r="X653" s="13"/>
      <c r="Y653" s="13"/>
      <c r="Z653" s="13"/>
      <c r="AA653" s="13"/>
      <c r="AB653" s="13"/>
    </row>
    <row r="654" hidden="1">
      <c r="C654" s="89"/>
      <c r="D654" s="89"/>
      <c r="G654" s="56"/>
      <c r="H654" s="89"/>
      <c r="I654" s="89"/>
      <c r="J654" s="89"/>
      <c r="S654" s="13"/>
      <c r="T654" s="13"/>
      <c r="U654" s="13"/>
      <c r="V654" s="13"/>
      <c r="W654" s="13"/>
      <c r="X654" s="13"/>
      <c r="Y654" s="13"/>
      <c r="Z654" s="13"/>
      <c r="AA654" s="13"/>
      <c r="AB654" s="13"/>
    </row>
    <row r="655" hidden="1">
      <c r="C655" s="89"/>
      <c r="D655" s="89"/>
      <c r="G655" s="56"/>
      <c r="H655" s="89"/>
      <c r="I655" s="89"/>
      <c r="J655" s="89"/>
      <c r="S655" s="13"/>
      <c r="T655" s="13"/>
      <c r="U655" s="13"/>
      <c r="V655" s="13"/>
      <c r="W655" s="13"/>
      <c r="X655" s="13"/>
      <c r="Y655" s="13"/>
      <c r="Z655" s="13"/>
      <c r="AA655" s="13"/>
      <c r="AB655" s="13"/>
    </row>
    <row r="656" hidden="1">
      <c r="C656" s="89"/>
      <c r="D656" s="89"/>
      <c r="G656" s="56"/>
      <c r="H656" s="89"/>
      <c r="I656" s="89"/>
      <c r="J656" s="89"/>
      <c r="S656" s="13"/>
      <c r="T656" s="13"/>
      <c r="U656" s="13"/>
      <c r="V656" s="13"/>
      <c r="W656" s="13"/>
      <c r="X656" s="13"/>
      <c r="Y656" s="13"/>
      <c r="Z656" s="13"/>
      <c r="AA656" s="13"/>
      <c r="AB656" s="13"/>
    </row>
    <row r="657" hidden="1">
      <c r="C657" s="89"/>
      <c r="D657" s="89"/>
      <c r="G657" s="56"/>
      <c r="H657" s="89"/>
      <c r="I657" s="89"/>
      <c r="J657" s="89"/>
      <c r="S657" s="13"/>
      <c r="T657" s="13"/>
      <c r="U657" s="13"/>
      <c r="V657" s="13"/>
      <c r="W657" s="13"/>
      <c r="X657" s="13"/>
      <c r="Y657" s="13"/>
      <c r="Z657" s="13"/>
      <c r="AA657" s="13"/>
      <c r="AB657" s="13"/>
    </row>
    <row r="658" hidden="1">
      <c r="C658" s="89"/>
      <c r="D658" s="89"/>
      <c r="G658" s="56"/>
      <c r="H658" s="89"/>
      <c r="I658" s="89"/>
      <c r="J658" s="89"/>
      <c r="S658" s="13"/>
      <c r="T658" s="13"/>
      <c r="U658" s="13"/>
      <c r="V658" s="13"/>
      <c r="W658" s="13"/>
      <c r="X658" s="13"/>
      <c r="Y658" s="13"/>
      <c r="Z658" s="13"/>
      <c r="AA658" s="13"/>
      <c r="AB658" s="13"/>
    </row>
    <row r="659" hidden="1">
      <c r="C659" s="89"/>
      <c r="D659" s="89"/>
      <c r="G659" s="56"/>
      <c r="H659" s="89"/>
      <c r="I659" s="89"/>
      <c r="J659" s="89"/>
      <c r="S659" s="13"/>
      <c r="T659" s="13"/>
      <c r="U659" s="13"/>
      <c r="V659" s="13"/>
      <c r="W659" s="13"/>
      <c r="X659" s="13"/>
      <c r="Y659" s="13"/>
      <c r="Z659" s="13"/>
      <c r="AA659" s="13"/>
      <c r="AB659" s="13"/>
    </row>
    <row r="660" hidden="1">
      <c r="C660" s="89"/>
      <c r="D660" s="89"/>
      <c r="G660" s="56"/>
      <c r="H660" s="89"/>
      <c r="I660" s="89"/>
      <c r="J660" s="89"/>
      <c r="S660" s="13"/>
      <c r="T660" s="13"/>
      <c r="U660" s="13"/>
      <c r="V660" s="13"/>
      <c r="W660" s="13"/>
      <c r="X660" s="13"/>
      <c r="Y660" s="13"/>
      <c r="Z660" s="13"/>
      <c r="AA660" s="13"/>
      <c r="AB660" s="13"/>
    </row>
    <row r="661" hidden="1">
      <c r="C661" s="89"/>
      <c r="D661" s="89"/>
      <c r="G661" s="56"/>
      <c r="H661" s="89"/>
      <c r="I661" s="89"/>
      <c r="J661" s="89"/>
      <c r="S661" s="13"/>
      <c r="T661" s="13"/>
      <c r="U661" s="13"/>
      <c r="V661" s="13"/>
      <c r="W661" s="13"/>
      <c r="X661" s="13"/>
      <c r="Y661" s="13"/>
      <c r="Z661" s="13"/>
      <c r="AA661" s="13"/>
      <c r="AB661" s="13"/>
    </row>
    <row r="662" hidden="1">
      <c r="C662" s="89"/>
      <c r="D662" s="89"/>
      <c r="G662" s="56"/>
      <c r="H662" s="89"/>
      <c r="I662" s="89"/>
      <c r="J662" s="89"/>
      <c r="S662" s="13"/>
      <c r="T662" s="13"/>
      <c r="U662" s="13"/>
      <c r="V662" s="13"/>
      <c r="W662" s="13"/>
      <c r="X662" s="13"/>
      <c r="Y662" s="13"/>
      <c r="Z662" s="13"/>
      <c r="AA662" s="13"/>
      <c r="AB662" s="13"/>
    </row>
    <row r="663" hidden="1">
      <c r="C663" s="89"/>
      <c r="D663" s="89"/>
      <c r="G663" s="56"/>
      <c r="H663" s="89"/>
      <c r="I663" s="89"/>
      <c r="J663" s="89"/>
      <c r="S663" s="13"/>
      <c r="T663" s="13"/>
      <c r="U663" s="13"/>
      <c r="V663" s="13"/>
      <c r="W663" s="13"/>
      <c r="X663" s="13"/>
      <c r="Y663" s="13"/>
      <c r="Z663" s="13"/>
      <c r="AA663" s="13"/>
      <c r="AB663" s="13"/>
    </row>
    <row r="664" hidden="1">
      <c r="C664" s="89"/>
      <c r="D664" s="89"/>
      <c r="G664" s="56"/>
      <c r="H664" s="89"/>
      <c r="I664" s="89"/>
      <c r="J664" s="89"/>
      <c r="S664" s="13"/>
      <c r="T664" s="13"/>
      <c r="U664" s="13"/>
      <c r="V664" s="13"/>
      <c r="W664" s="13"/>
      <c r="X664" s="13"/>
      <c r="Y664" s="13"/>
      <c r="Z664" s="13"/>
      <c r="AA664" s="13"/>
      <c r="AB664" s="13"/>
    </row>
    <row r="665" hidden="1">
      <c r="C665" s="89"/>
      <c r="D665" s="89"/>
      <c r="G665" s="56"/>
      <c r="H665" s="89"/>
      <c r="I665" s="89"/>
      <c r="J665" s="89"/>
      <c r="S665" s="13"/>
      <c r="T665" s="13"/>
      <c r="U665" s="13"/>
      <c r="V665" s="13"/>
      <c r="W665" s="13"/>
      <c r="X665" s="13"/>
      <c r="Y665" s="13"/>
      <c r="Z665" s="13"/>
      <c r="AA665" s="13"/>
      <c r="AB665" s="13"/>
    </row>
    <row r="666" hidden="1">
      <c r="C666" s="89"/>
      <c r="D666" s="89"/>
      <c r="G666" s="56"/>
      <c r="H666" s="89"/>
      <c r="I666" s="89"/>
      <c r="J666" s="89"/>
      <c r="S666" s="13"/>
      <c r="T666" s="13"/>
      <c r="U666" s="13"/>
      <c r="V666" s="13"/>
      <c r="W666" s="13"/>
      <c r="X666" s="13"/>
      <c r="Y666" s="13"/>
      <c r="Z666" s="13"/>
      <c r="AA666" s="13"/>
      <c r="AB666" s="13"/>
    </row>
    <row r="667" hidden="1">
      <c r="C667" s="89"/>
      <c r="D667" s="89"/>
      <c r="G667" s="56"/>
      <c r="H667" s="89"/>
      <c r="I667" s="89"/>
      <c r="J667" s="89"/>
      <c r="S667" s="13"/>
      <c r="T667" s="13"/>
      <c r="U667" s="13"/>
      <c r="V667" s="13"/>
      <c r="W667" s="13"/>
      <c r="X667" s="13"/>
      <c r="Y667" s="13"/>
      <c r="Z667" s="13"/>
      <c r="AA667" s="13"/>
      <c r="AB667" s="13"/>
    </row>
    <row r="668" hidden="1">
      <c r="C668" s="89"/>
      <c r="D668" s="89"/>
      <c r="G668" s="56"/>
      <c r="H668" s="89"/>
      <c r="I668" s="89"/>
      <c r="J668" s="89"/>
      <c r="S668" s="13"/>
      <c r="T668" s="13"/>
      <c r="U668" s="13"/>
      <c r="V668" s="13"/>
      <c r="W668" s="13"/>
      <c r="X668" s="13"/>
      <c r="Y668" s="13"/>
      <c r="Z668" s="13"/>
      <c r="AA668" s="13"/>
      <c r="AB668" s="13"/>
    </row>
    <row r="669" hidden="1">
      <c r="C669" s="89"/>
      <c r="D669" s="89"/>
      <c r="G669" s="56"/>
      <c r="H669" s="89"/>
      <c r="I669" s="89"/>
      <c r="J669" s="89"/>
      <c r="S669" s="13"/>
      <c r="T669" s="13"/>
      <c r="U669" s="13"/>
      <c r="V669" s="13"/>
      <c r="W669" s="13"/>
      <c r="X669" s="13"/>
      <c r="Y669" s="13"/>
      <c r="Z669" s="13"/>
      <c r="AA669" s="13"/>
      <c r="AB669" s="13"/>
    </row>
    <row r="670" hidden="1">
      <c r="C670" s="89"/>
      <c r="D670" s="89"/>
      <c r="G670" s="56"/>
      <c r="H670" s="89"/>
      <c r="I670" s="89"/>
      <c r="J670" s="89"/>
      <c r="S670" s="13"/>
      <c r="T670" s="13"/>
      <c r="U670" s="13"/>
      <c r="V670" s="13"/>
      <c r="W670" s="13"/>
      <c r="X670" s="13"/>
      <c r="Y670" s="13"/>
      <c r="Z670" s="13"/>
      <c r="AA670" s="13"/>
      <c r="AB670" s="13"/>
    </row>
    <row r="671" hidden="1">
      <c r="C671" s="89"/>
      <c r="D671" s="89"/>
      <c r="G671" s="56"/>
      <c r="H671" s="89"/>
      <c r="I671" s="89"/>
      <c r="J671" s="89"/>
      <c r="S671" s="13"/>
      <c r="T671" s="13"/>
      <c r="U671" s="13"/>
      <c r="V671" s="13"/>
      <c r="W671" s="13"/>
      <c r="X671" s="13"/>
      <c r="Y671" s="13"/>
      <c r="Z671" s="13"/>
      <c r="AA671" s="13"/>
      <c r="AB671" s="13"/>
    </row>
    <row r="672" hidden="1">
      <c r="C672" s="89"/>
      <c r="D672" s="89"/>
      <c r="G672" s="56"/>
      <c r="H672" s="89"/>
      <c r="I672" s="89"/>
      <c r="J672" s="89"/>
      <c r="S672" s="13"/>
      <c r="T672" s="13"/>
      <c r="U672" s="13"/>
      <c r="V672" s="13"/>
      <c r="W672" s="13"/>
      <c r="X672" s="13"/>
      <c r="Y672" s="13"/>
      <c r="Z672" s="13"/>
      <c r="AA672" s="13"/>
      <c r="AB672" s="13"/>
    </row>
    <row r="673" hidden="1">
      <c r="C673" s="89"/>
      <c r="D673" s="89"/>
      <c r="G673" s="56"/>
      <c r="H673" s="89"/>
      <c r="I673" s="89"/>
      <c r="J673" s="89"/>
      <c r="S673" s="13"/>
      <c r="T673" s="13"/>
      <c r="U673" s="13"/>
      <c r="V673" s="13"/>
      <c r="W673" s="13"/>
      <c r="X673" s="13"/>
      <c r="Y673" s="13"/>
      <c r="Z673" s="13"/>
      <c r="AA673" s="13"/>
      <c r="AB673" s="13"/>
    </row>
    <row r="674" hidden="1">
      <c r="C674" s="89"/>
      <c r="D674" s="89"/>
      <c r="G674" s="56"/>
      <c r="H674" s="89"/>
      <c r="I674" s="89"/>
      <c r="J674" s="89"/>
      <c r="S674" s="13"/>
      <c r="T674" s="13"/>
      <c r="U674" s="13"/>
      <c r="V674" s="13"/>
      <c r="W674" s="13"/>
      <c r="X674" s="13"/>
      <c r="Y674" s="13"/>
      <c r="Z674" s="13"/>
      <c r="AA674" s="13"/>
      <c r="AB674" s="13"/>
    </row>
    <row r="675" hidden="1">
      <c r="C675" s="89"/>
      <c r="D675" s="89"/>
      <c r="G675" s="56"/>
      <c r="H675" s="89"/>
      <c r="I675" s="89"/>
      <c r="J675" s="89"/>
      <c r="S675" s="13"/>
      <c r="T675" s="13"/>
      <c r="U675" s="13"/>
      <c r="V675" s="13"/>
      <c r="W675" s="13"/>
      <c r="X675" s="13"/>
      <c r="Y675" s="13"/>
      <c r="Z675" s="13"/>
      <c r="AA675" s="13"/>
      <c r="AB675" s="13"/>
    </row>
    <row r="676" hidden="1">
      <c r="C676" s="89"/>
      <c r="D676" s="89"/>
      <c r="G676" s="56"/>
      <c r="H676" s="89"/>
      <c r="I676" s="89"/>
      <c r="J676" s="89"/>
      <c r="S676" s="13"/>
      <c r="T676" s="13"/>
      <c r="U676" s="13"/>
      <c r="V676" s="13"/>
      <c r="W676" s="13"/>
      <c r="X676" s="13"/>
      <c r="Y676" s="13"/>
      <c r="Z676" s="13"/>
      <c r="AA676" s="13"/>
      <c r="AB676" s="13"/>
    </row>
    <row r="677" hidden="1">
      <c r="C677" s="89"/>
      <c r="D677" s="89"/>
      <c r="G677" s="56"/>
      <c r="H677" s="89"/>
      <c r="I677" s="89"/>
      <c r="J677" s="89"/>
      <c r="S677" s="13"/>
      <c r="T677" s="13"/>
      <c r="U677" s="13"/>
      <c r="V677" s="13"/>
      <c r="W677" s="13"/>
      <c r="X677" s="13"/>
      <c r="Y677" s="13"/>
      <c r="Z677" s="13"/>
      <c r="AA677" s="13"/>
      <c r="AB677" s="13"/>
    </row>
    <row r="678" hidden="1">
      <c r="C678" s="89"/>
      <c r="D678" s="89"/>
      <c r="G678" s="56"/>
      <c r="H678" s="89"/>
      <c r="I678" s="89"/>
      <c r="J678" s="89"/>
      <c r="S678" s="13"/>
      <c r="T678" s="13"/>
      <c r="U678" s="13"/>
      <c r="V678" s="13"/>
      <c r="W678" s="13"/>
      <c r="X678" s="13"/>
      <c r="Y678" s="13"/>
      <c r="Z678" s="13"/>
      <c r="AA678" s="13"/>
      <c r="AB678" s="13"/>
    </row>
    <row r="679" hidden="1">
      <c r="C679" s="89"/>
      <c r="D679" s="89"/>
      <c r="G679" s="56"/>
      <c r="H679" s="89"/>
      <c r="I679" s="89"/>
      <c r="J679" s="89"/>
      <c r="S679" s="13"/>
      <c r="T679" s="13"/>
      <c r="U679" s="13"/>
      <c r="V679" s="13"/>
      <c r="W679" s="13"/>
      <c r="X679" s="13"/>
      <c r="Y679" s="13"/>
      <c r="Z679" s="13"/>
      <c r="AA679" s="13"/>
      <c r="AB679" s="13"/>
    </row>
    <row r="680" hidden="1">
      <c r="C680" s="89"/>
      <c r="D680" s="89"/>
      <c r="G680" s="56"/>
      <c r="H680" s="89"/>
      <c r="I680" s="89"/>
      <c r="J680" s="89"/>
      <c r="S680" s="13"/>
      <c r="T680" s="13"/>
      <c r="U680" s="13"/>
      <c r="V680" s="13"/>
      <c r="W680" s="13"/>
      <c r="X680" s="13"/>
      <c r="Y680" s="13"/>
      <c r="Z680" s="13"/>
      <c r="AA680" s="13"/>
      <c r="AB680" s="13"/>
    </row>
    <row r="681" hidden="1">
      <c r="C681" s="89"/>
      <c r="D681" s="89"/>
      <c r="G681" s="56"/>
      <c r="H681" s="89"/>
      <c r="I681" s="89"/>
      <c r="J681" s="89"/>
      <c r="S681" s="13"/>
      <c r="T681" s="13"/>
      <c r="U681" s="13"/>
      <c r="V681" s="13"/>
      <c r="W681" s="13"/>
      <c r="X681" s="13"/>
      <c r="Y681" s="13"/>
      <c r="Z681" s="13"/>
      <c r="AA681" s="13"/>
      <c r="AB681" s="13"/>
    </row>
    <row r="682" hidden="1">
      <c r="C682" s="89"/>
      <c r="D682" s="89"/>
      <c r="G682" s="56"/>
      <c r="H682" s="89"/>
      <c r="I682" s="89"/>
      <c r="J682" s="89"/>
      <c r="S682" s="13"/>
      <c r="T682" s="13"/>
      <c r="U682" s="13"/>
      <c r="V682" s="13"/>
      <c r="W682" s="13"/>
      <c r="X682" s="13"/>
      <c r="Y682" s="13"/>
      <c r="Z682" s="13"/>
      <c r="AA682" s="13"/>
      <c r="AB682" s="13"/>
    </row>
    <row r="683" hidden="1">
      <c r="C683" s="89"/>
      <c r="D683" s="89"/>
      <c r="G683" s="56"/>
      <c r="H683" s="89"/>
      <c r="I683" s="89"/>
      <c r="J683" s="89"/>
      <c r="S683" s="13"/>
      <c r="T683" s="13"/>
      <c r="U683" s="13"/>
      <c r="V683" s="13"/>
      <c r="W683" s="13"/>
      <c r="X683" s="13"/>
      <c r="Y683" s="13"/>
      <c r="Z683" s="13"/>
      <c r="AA683" s="13"/>
      <c r="AB683" s="13"/>
    </row>
    <row r="684" hidden="1">
      <c r="C684" s="89"/>
      <c r="D684" s="89"/>
      <c r="G684" s="56"/>
      <c r="H684" s="89"/>
      <c r="I684" s="89"/>
      <c r="J684" s="89"/>
      <c r="S684" s="13"/>
      <c r="T684" s="13"/>
      <c r="U684" s="13"/>
      <c r="V684" s="13"/>
      <c r="W684" s="13"/>
      <c r="X684" s="13"/>
      <c r="Y684" s="13"/>
      <c r="Z684" s="13"/>
      <c r="AA684" s="13"/>
      <c r="AB684" s="13"/>
    </row>
    <row r="685" hidden="1">
      <c r="C685" s="89"/>
      <c r="D685" s="89"/>
      <c r="G685" s="56"/>
      <c r="H685" s="89"/>
      <c r="I685" s="89"/>
      <c r="J685" s="89"/>
      <c r="S685" s="13"/>
      <c r="T685" s="13"/>
      <c r="U685" s="13"/>
      <c r="V685" s="13"/>
      <c r="W685" s="13"/>
      <c r="X685" s="13"/>
      <c r="Y685" s="13"/>
      <c r="Z685" s="13"/>
      <c r="AA685" s="13"/>
      <c r="AB685" s="13"/>
    </row>
    <row r="686" hidden="1">
      <c r="C686" s="89"/>
      <c r="D686" s="89"/>
      <c r="G686" s="56"/>
      <c r="H686" s="89"/>
      <c r="I686" s="89"/>
      <c r="J686" s="89"/>
      <c r="S686" s="13"/>
      <c r="T686" s="13"/>
      <c r="U686" s="13"/>
      <c r="V686" s="13"/>
      <c r="W686" s="13"/>
      <c r="X686" s="13"/>
      <c r="Y686" s="13"/>
      <c r="Z686" s="13"/>
      <c r="AA686" s="13"/>
      <c r="AB686" s="13"/>
    </row>
    <row r="687" hidden="1">
      <c r="C687" s="89"/>
      <c r="D687" s="89"/>
      <c r="G687" s="56"/>
      <c r="H687" s="89"/>
      <c r="I687" s="89"/>
      <c r="J687" s="89"/>
      <c r="S687" s="13"/>
      <c r="T687" s="13"/>
      <c r="U687" s="13"/>
      <c r="V687" s="13"/>
      <c r="W687" s="13"/>
      <c r="X687" s="13"/>
      <c r="Y687" s="13"/>
      <c r="Z687" s="13"/>
      <c r="AA687" s="13"/>
      <c r="AB687" s="13"/>
    </row>
    <row r="688" hidden="1">
      <c r="C688" s="89"/>
      <c r="D688" s="89"/>
      <c r="G688" s="56"/>
      <c r="H688" s="89"/>
      <c r="I688" s="89"/>
      <c r="J688" s="89"/>
      <c r="S688" s="13"/>
      <c r="T688" s="13"/>
      <c r="U688" s="13"/>
      <c r="V688" s="13"/>
      <c r="W688" s="13"/>
      <c r="X688" s="13"/>
      <c r="Y688" s="13"/>
      <c r="Z688" s="13"/>
      <c r="AA688" s="13"/>
      <c r="AB688" s="13"/>
    </row>
    <row r="689" hidden="1">
      <c r="C689" s="89"/>
      <c r="D689" s="89"/>
      <c r="G689" s="56"/>
      <c r="H689" s="89"/>
      <c r="I689" s="89"/>
      <c r="J689" s="89"/>
      <c r="S689" s="13"/>
      <c r="T689" s="13"/>
      <c r="U689" s="13"/>
      <c r="V689" s="13"/>
      <c r="W689" s="13"/>
      <c r="X689" s="13"/>
      <c r="Y689" s="13"/>
      <c r="Z689" s="13"/>
      <c r="AA689" s="13"/>
      <c r="AB689" s="13"/>
    </row>
    <row r="690" hidden="1">
      <c r="C690" s="89"/>
      <c r="D690" s="89"/>
      <c r="G690" s="56"/>
      <c r="H690" s="89"/>
      <c r="I690" s="89"/>
      <c r="J690" s="89"/>
      <c r="S690" s="13"/>
      <c r="T690" s="13"/>
      <c r="U690" s="13"/>
      <c r="V690" s="13"/>
      <c r="W690" s="13"/>
      <c r="X690" s="13"/>
      <c r="Y690" s="13"/>
      <c r="Z690" s="13"/>
      <c r="AA690" s="13"/>
      <c r="AB690" s="13"/>
    </row>
    <row r="691" hidden="1">
      <c r="C691" s="89"/>
      <c r="D691" s="89"/>
      <c r="G691" s="56"/>
      <c r="H691" s="89"/>
      <c r="I691" s="89"/>
      <c r="J691" s="89"/>
      <c r="S691" s="13"/>
      <c r="T691" s="13"/>
      <c r="U691" s="13"/>
      <c r="V691" s="13"/>
      <c r="W691" s="13"/>
      <c r="X691" s="13"/>
      <c r="Y691" s="13"/>
      <c r="Z691" s="13"/>
      <c r="AA691" s="13"/>
      <c r="AB691" s="13"/>
    </row>
    <row r="692" hidden="1">
      <c r="C692" s="89"/>
      <c r="D692" s="89"/>
      <c r="G692" s="56"/>
      <c r="H692" s="89"/>
      <c r="I692" s="89"/>
      <c r="J692" s="89"/>
      <c r="S692" s="13"/>
      <c r="T692" s="13"/>
      <c r="U692" s="13"/>
      <c r="V692" s="13"/>
      <c r="W692" s="13"/>
      <c r="X692" s="13"/>
      <c r="Y692" s="13"/>
      <c r="Z692" s="13"/>
      <c r="AA692" s="13"/>
      <c r="AB692" s="13"/>
    </row>
    <row r="693" hidden="1">
      <c r="C693" s="89"/>
      <c r="D693" s="89"/>
      <c r="G693" s="56"/>
      <c r="H693" s="89"/>
      <c r="I693" s="89"/>
      <c r="J693" s="89"/>
      <c r="S693" s="13"/>
      <c r="T693" s="13"/>
      <c r="U693" s="13"/>
      <c r="V693" s="13"/>
      <c r="W693" s="13"/>
      <c r="X693" s="13"/>
      <c r="Y693" s="13"/>
      <c r="Z693" s="13"/>
      <c r="AA693" s="13"/>
      <c r="AB693" s="13"/>
    </row>
    <row r="694" hidden="1">
      <c r="C694" s="89"/>
      <c r="D694" s="89"/>
      <c r="G694" s="56"/>
      <c r="H694" s="89"/>
      <c r="I694" s="89"/>
      <c r="J694" s="89"/>
      <c r="S694" s="13"/>
      <c r="T694" s="13"/>
      <c r="U694" s="13"/>
      <c r="V694" s="13"/>
      <c r="W694" s="13"/>
      <c r="X694" s="13"/>
      <c r="Y694" s="13"/>
      <c r="Z694" s="13"/>
      <c r="AA694" s="13"/>
      <c r="AB694" s="13"/>
    </row>
    <row r="695" hidden="1">
      <c r="C695" s="89"/>
      <c r="D695" s="89"/>
      <c r="G695" s="56"/>
      <c r="H695" s="89"/>
      <c r="I695" s="89"/>
      <c r="J695" s="89"/>
      <c r="S695" s="13"/>
      <c r="T695" s="13"/>
      <c r="U695" s="13"/>
      <c r="V695" s="13"/>
      <c r="W695" s="13"/>
      <c r="X695" s="13"/>
      <c r="Y695" s="13"/>
      <c r="Z695" s="13"/>
      <c r="AA695" s="13"/>
      <c r="AB695" s="13"/>
    </row>
    <row r="696" hidden="1">
      <c r="C696" s="89"/>
      <c r="D696" s="89"/>
      <c r="G696" s="56"/>
      <c r="H696" s="89"/>
      <c r="I696" s="89"/>
      <c r="J696" s="89"/>
      <c r="S696" s="13"/>
      <c r="T696" s="13"/>
      <c r="U696" s="13"/>
      <c r="V696" s="13"/>
      <c r="W696" s="13"/>
      <c r="X696" s="13"/>
      <c r="Y696" s="13"/>
      <c r="Z696" s="13"/>
      <c r="AA696" s="13"/>
      <c r="AB696" s="13"/>
    </row>
    <row r="697" hidden="1">
      <c r="C697" s="89"/>
      <c r="D697" s="89"/>
      <c r="G697" s="56"/>
      <c r="H697" s="89"/>
      <c r="I697" s="89"/>
      <c r="J697" s="89"/>
      <c r="S697" s="13"/>
      <c r="T697" s="13"/>
      <c r="U697" s="13"/>
      <c r="V697" s="13"/>
      <c r="W697" s="13"/>
      <c r="X697" s="13"/>
      <c r="Y697" s="13"/>
      <c r="Z697" s="13"/>
      <c r="AA697" s="13"/>
      <c r="AB697" s="13"/>
    </row>
    <row r="698" hidden="1">
      <c r="C698" s="89"/>
      <c r="D698" s="89"/>
      <c r="G698" s="56"/>
      <c r="H698" s="89"/>
      <c r="I698" s="89"/>
      <c r="J698" s="89"/>
      <c r="S698" s="13"/>
      <c r="T698" s="13"/>
      <c r="U698" s="13"/>
      <c r="V698" s="13"/>
      <c r="W698" s="13"/>
      <c r="X698" s="13"/>
      <c r="Y698" s="13"/>
      <c r="Z698" s="13"/>
      <c r="AA698" s="13"/>
      <c r="AB698" s="13"/>
    </row>
    <row r="699" hidden="1">
      <c r="C699" s="89"/>
      <c r="D699" s="89"/>
      <c r="G699" s="56"/>
      <c r="H699" s="89"/>
      <c r="I699" s="89"/>
      <c r="J699" s="89"/>
      <c r="S699" s="13"/>
      <c r="T699" s="13"/>
      <c r="U699" s="13"/>
      <c r="V699" s="13"/>
      <c r="W699" s="13"/>
      <c r="X699" s="13"/>
      <c r="Y699" s="13"/>
      <c r="Z699" s="13"/>
      <c r="AA699" s="13"/>
      <c r="AB699" s="13"/>
    </row>
    <row r="700" hidden="1">
      <c r="C700" s="89"/>
      <c r="D700" s="89"/>
      <c r="G700" s="56"/>
      <c r="H700" s="89"/>
      <c r="I700" s="89"/>
      <c r="J700" s="89"/>
      <c r="S700" s="13"/>
      <c r="T700" s="13"/>
      <c r="U700" s="13"/>
      <c r="V700" s="13"/>
      <c r="W700" s="13"/>
      <c r="X700" s="13"/>
      <c r="Y700" s="13"/>
      <c r="Z700" s="13"/>
      <c r="AA700" s="13"/>
      <c r="AB700" s="13"/>
    </row>
    <row r="701" hidden="1">
      <c r="C701" s="89"/>
      <c r="D701" s="89"/>
      <c r="G701" s="56"/>
      <c r="H701" s="89"/>
      <c r="I701" s="89"/>
      <c r="J701" s="89"/>
      <c r="S701" s="13"/>
      <c r="T701" s="13"/>
      <c r="U701" s="13"/>
      <c r="V701" s="13"/>
      <c r="W701" s="13"/>
      <c r="X701" s="13"/>
      <c r="Y701" s="13"/>
      <c r="Z701" s="13"/>
      <c r="AA701" s="13"/>
      <c r="AB701" s="13"/>
    </row>
    <row r="702" hidden="1">
      <c r="C702" s="89"/>
      <c r="D702" s="89"/>
      <c r="G702" s="56"/>
      <c r="H702" s="89"/>
      <c r="I702" s="89"/>
      <c r="J702" s="89"/>
      <c r="S702" s="13"/>
      <c r="T702" s="13"/>
      <c r="U702" s="13"/>
      <c r="V702" s="13"/>
      <c r="W702" s="13"/>
      <c r="X702" s="13"/>
      <c r="Y702" s="13"/>
      <c r="Z702" s="13"/>
      <c r="AA702" s="13"/>
      <c r="AB702" s="13"/>
    </row>
    <row r="703" hidden="1">
      <c r="C703" s="89"/>
      <c r="D703" s="89"/>
      <c r="G703" s="56"/>
      <c r="H703" s="89"/>
      <c r="I703" s="89"/>
      <c r="J703" s="89"/>
      <c r="S703" s="13"/>
      <c r="T703" s="13"/>
      <c r="U703" s="13"/>
      <c r="V703" s="13"/>
      <c r="W703" s="13"/>
      <c r="X703" s="13"/>
      <c r="Y703" s="13"/>
      <c r="Z703" s="13"/>
      <c r="AA703" s="13"/>
      <c r="AB703" s="13"/>
    </row>
    <row r="704" hidden="1">
      <c r="C704" s="89"/>
      <c r="D704" s="89"/>
      <c r="G704" s="56"/>
      <c r="H704" s="89"/>
      <c r="I704" s="89"/>
      <c r="J704" s="89"/>
      <c r="S704" s="13"/>
      <c r="T704" s="13"/>
      <c r="U704" s="13"/>
      <c r="V704" s="13"/>
      <c r="W704" s="13"/>
      <c r="X704" s="13"/>
      <c r="Y704" s="13"/>
      <c r="Z704" s="13"/>
      <c r="AA704" s="13"/>
      <c r="AB704" s="13"/>
    </row>
    <row r="705" hidden="1">
      <c r="C705" s="89"/>
      <c r="D705" s="89"/>
      <c r="G705" s="56"/>
      <c r="H705" s="89"/>
      <c r="I705" s="89"/>
      <c r="J705" s="89"/>
      <c r="S705" s="13"/>
      <c r="T705" s="13"/>
      <c r="U705" s="13"/>
      <c r="V705" s="13"/>
      <c r="W705" s="13"/>
      <c r="X705" s="13"/>
      <c r="Y705" s="13"/>
      <c r="Z705" s="13"/>
      <c r="AA705" s="13"/>
      <c r="AB705" s="13"/>
    </row>
    <row r="706" hidden="1">
      <c r="C706" s="89"/>
      <c r="D706" s="89"/>
      <c r="G706" s="56"/>
      <c r="H706" s="89"/>
      <c r="I706" s="89"/>
      <c r="J706" s="89"/>
      <c r="S706" s="13"/>
      <c r="T706" s="13"/>
      <c r="U706" s="13"/>
      <c r="V706" s="13"/>
      <c r="W706" s="13"/>
      <c r="X706" s="13"/>
      <c r="Y706" s="13"/>
      <c r="Z706" s="13"/>
      <c r="AA706" s="13"/>
      <c r="AB706" s="13"/>
    </row>
    <row r="707" hidden="1">
      <c r="C707" s="89"/>
      <c r="D707" s="89"/>
      <c r="G707" s="56"/>
      <c r="H707" s="89"/>
      <c r="I707" s="89"/>
      <c r="J707" s="89"/>
      <c r="S707" s="13"/>
      <c r="T707" s="13"/>
      <c r="U707" s="13"/>
      <c r="V707" s="13"/>
      <c r="W707" s="13"/>
      <c r="X707" s="13"/>
      <c r="Y707" s="13"/>
      <c r="Z707" s="13"/>
      <c r="AA707" s="13"/>
      <c r="AB707" s="13"/>
    </row>
    <row r="708" hidden="1">
      <c r="C708" s="89"/>
      <c r="D708" s="89"/>
      <c r="G708" s="56"/>
      <c r="H708" s="89"/>
      <c r="I708" s="89"/>
      <c r="J708" s="89"/>
      <c r="S708" s="13"/>
      <c r="T708" s="13"/>
      <c r="U708" s="13"/>
      <c r="V708" s="13"/>
      <c r="W708" s="13"/>
      <c r="X708" s="13"/>
      <c r="Y708" s="13"/>
      <c r="Z708" s="13"/>
      <c r="AA708" s="13"/>
      <c r="AB708" s="13"/>
    </row>
    <row r="709" hidden="1">
      <c r="C709" s="89"/>
      <c r="D709" s="89"/>
      <c r="G709" s="56"/>
      <c r="H709" s="89"/>
      <c r="I709" s="89"/>
      <c r="J709" s="89"/>
      <c r="S709" s="13"/>
      <c r="T709" s="13"/>
      <c r="U709" s="13"/>
      <c r="V709" s="13"/>
      <c r="W709" s="13"/>
      <c r="X709" s="13"/>
      <c r="Y709" s="13"/>
      <c r="Z709" s="13"/>
      <c r="AA709" s="13"/>
      <c r="AB709" s="13"/>
    </row>
    <row r="710" hidden="1">
      <c r="C710" s="89"/>
      <c r="D710" s="89"/>
      <c r="G710" s="56"/>
      <c r="H710" s="89"/>
      <c r="I710" s="89"/>
      <c r="J710" s="89"/>
      <c r="S710" s="13"/>
      <c r="T710" s="13"/>
      <c r="U710" s="13"/>
      <c r="V710" s="13"/>
      <c r="W710" s="13"/>
      <c r="X710" s="13"/>
      <c r="Y710" s="13"/>
      <c r="Z710" s="13"/>
      <c r="AA710" s="13"/>
      <c r="AB710" s="13"/>
    </row>
    <row r="711" hidden="1">
      <c r="C711" s="89"/>
      <c r="D711" s="89"/>
      <c r="G711" s="56"/>
      <c r="H711" s="89"/>
      <c r="I711" s="89"/>
      <c r="J711" s="89"/>
      <c r="S711" s="13"/>
      <c r="T711" s="13"/>
      <c r="U711" s="13"/>
      <c r="V711" s="13"/>
      <c r="W711" s="13"/>
      <c r="X711" s="13"/>
      <c r="Y711" s="13"/>
      <c r="Z711" s="13"/>
      <c r="AA711" s="13"/>
      <c r="AB711" s="13"/>
    </row>
    <row r="712" hidden="1">
      <c r="C712" s="89"/>
      <c r="D712" s="89"/>
      <c r="G712" s="56"/>
      <c r="H712" s="89"/>
      <c r="I712" s="89"/>
      <c r="J712" s="89"/>
      <c r="S712" s="13"/>
      <c r="T712" s="13"/>
      <c r="U712" s="13"/>
      <c r="V712" s="13"/>
      <c r="W712" s="13"/>
      <c r="X712" s="13"/>
      <c r="Y712" s="13"/>
      <c r="Z712" s="13"/>
      <c r="AA712" s="13"/>
      <c r="AB712" s="13"/>
    </row>
    <row r="713" hidden="1">
      <c r="C713" s="89"/>
      <c r="D713" s="89"/>
      <c r="G713" s="56"/>
      <c r="H713" s="89"/>
      <c r="I713" s="89"/>
      <c r="J713" s="89"/>
      <c r="S713" s="13"/>
      <c r="T713" s="13"/>
      <c r="U713" s="13"/>
      <c r="V713" s="13"/>
      <c r="W713" s="13"/>
      <c r="X713" s="13"/>
      <c r="Y713" s="13"/>
      <c r="Z713" s="13"/>
      <c r="AA713" s="13"/>
      <c r="AB713" s="13"/>
    </row>
    <row r="714" hidden="1">
      <c r="C714" s="89"/>
      <c r="D714" s="89"/>
      <c r="G714" s="56"/>
      <c r="H714" s="89"/>
      <c r="I714" s="89"/>
      <c r="J714" s="89"/>
      <c r="S714" s="13"/>
      <c r="T714" s="13"/>
      <c r="U714" s="13"/>
      <c r="V714" s="13"/>
      <c r="W714" s="13"/>
      <c r="X714" s="13"/>
      <c r="Y714" s="13"/>
      <c r="Z714" s="13"/>
      <c r="AA714" s="13"/>
      <c r="AB714" s="13"/>
    </row>
    <row r="715" hidden="1">
      <c r="C715" s="89"/>
      <c r="D715" s="89"/>
      <c r="G715" s="56"/>
      <c r="H715" s="89"/>
      <c r="I715" s="89"/>
      <c r="J715" s="89"/>
      <c r="S715" s="13"/>
      <c r="T715" s="13"/>
      <c r="U715" s="13"/>
      <c r="V715" s="13"/>
      <c r="W715" s="13"/>
      <c r="X715" s="13"/>
      <c r="Y715" s="13"/>
      <c r="Z715" s="13"/>
      <c r="AA715" s="13"/>
      <c r="AB715" s="13"/>
    </row>
    <row r="716" hidden="1">
      <c r="C716" s="89"/>
      <c r="D716" s="89"/>
      <c r="G716" s="56"/>
      <c r="H716" s="89"/>
      <c r="I716" s="89"/>
      <c r="J716" s="89"/>
      <c r="S716" s="13"/>
      <c r="T716" s="13"/>
      <c r="U716" s="13"/>
      <c r="V716" s="13"/>
      <c r="W716" s="13"/>
      <c r="X716" s="13"/>
      <c r="Y716" s="13"/>
      <c r="Z716" s="13"/>
      <c r="AA716" s="13"/>
      <c r="AB716" s="13"/>
    </row>
    <row r="717" hidden="1">
      <c r="C717" s="89"/>
      <c r="D717" s="89"/>
      <c r="G717" s="56"/>
      <c r="H717" s="89"/>
      <c r="I717" s="89"/>
      <c r="J717" s="89"/>
      <c r="S717" s="13"/>
      <c r="T717" s="13"/>
      <c r="U717" s="13"/>
      <c r="V717" s="13"/>
      <c r="W717" s="13"/>
      <c r="X717" s="13"/>
      <c r="Y717" s="13"/>
      <c r="Z717" s="13"/>
      <c r="AA717" s="13"/>
      <c r="AB717" s="13"/>
    </row>
    <row r="718" hidden="1">
      <c r="C718" s="89"/>
      <c r="D718" s="89"/>
      <c r="G718" s="56"/>
      <c r="H718" s="89"/>
      <c r="I718" s="89"/>
      <c r="J718" s="89"/>
      <c r="S718" s="13"/>
      <c r="T718" s="13"/>
      <c r="U718" s="13"/>
      <c r="V718" s="13"/>
      <c r="W718" s="13"/>
      <c r="X718" s="13"/>
      <c r="Y718" s="13"/>
      <c r="Z718" s="13"/>
      <c r="AA718" s="13"/>
      <c r="AB718" s="13"/>
    </row>
    <row r="719" hidden="1">
      <c r="C719" s="89"/>
      <c r="D719" s="89"/>
      <c r="G719" s="56"/>
      <c r="H719" s="89"/>
      <c r="I719" s="89"/>
      <c r="J719" s="89"/>
      <c r="S719" s="13"/>
      <c r="T719" s="13"/>
      <c r="U719" s="13"/>
      <c r="V719" s="13"/>
      <c r="W719" s="13"/>
      <c r="X719" s="13"/>
      <c r="Y719" s="13"/>
      <c r="Z719" s="13"/>
      <c r="AA719" s="13"/>
      <c r="AB719" s="13"/>
    </row>
    <row r="720" hidden="1">
      <c r="C720" s="89"/>
      <c r="D720" s="89"/>
      <c r="G720" s="56"/>
      <c r="H720" s="89"/>
      <c r="I720" s="89"/>
      <c r="J720" s="89"/>
      <c r="S720" s="13"/>
      <c r="T720" s="13"/>
      <c r="U720" s="13"/>
      <c r="V720" s="13"/>
      <c r="W720" s="13"/>
      <c r="X720" s="13"/>
      <c r="Y720" s="13"/>
      <c r="Z720" s="13"/>
      <c r="AA720" s="13"/>
      <c r="AB720" s="13"/>
    </row>
    <row r="721" hidden="1">
      <c r="C721" s="89"/>
      <c r="D721" s="89"/>
      <c r="G721" s="56"/>
      <c r="H721" s="89"/>
      <c r="I721" s="89"/>
      <c r="J721" s="89"/>
      <c r="S721" s="13"/>
      <c r="T721" s="13"/>
      <c r="U721" s="13"/>
      <c r="V721" s="13"/>
      <c r="W721" s="13"/>
      <c r="X721" s="13"/>
      <c r="Y721" s="13"/>
      <c r="Z721" s="13"/>
      <c r="AA721" s="13"/>
      <c r="AB721" s="13"/>
    </row>
    <row r="722" hidden="1">
      <c r="C722" s="89"/>
      <c r="D722" s="89"/>
      <c r="G722" s="56"/>
      <c r="H722" s="89"/>
      <c r="I722" s="89"/>
      <c r="J722" s="89"/>
      <c r="S722" s="13"/>
      <c r="T722" s="13"/>
      <c r="U722" s="13"/>
      <c r="V722" s="13"/>
      <c r="W722" s="13"/>
      <c r="X722" s="13"/>
      <c r="Y722" s="13"/>
      <c r="Z722" s="13"/>
      <c r="AA722" s="13"/>
      <c r="AB722" s="13"/>
    </row>
    <row r="723" hidden="1">
      <c r="C723" s="89"/>
      <c r="D723" s="89"/>
      <c r="G723" s="56"/>
      <c r="H723" s="89"/>
      <c r="I723" s="89"/>
      <c r="J723" s="89"/>
      <c r="S723" s="13"/>
      <c r="T723" s="13"/>
      <c r="U723" s="13"/>
      <c r="V723" s="13"/>
      <c r="W723" s="13"/>
      <c r="X723" s="13"/>
      <c r="Y723" s="13"/>
      <c r="Z723" s="13"/>
      <c r="AA723" s="13"/>
      <c r="AB723" s="13"/>
    </row>
    <row r="724" hidden="1">
      <c r="C724" s="89"/>
      <c r="D724" s="89"/>
      <c r="G724" s="56"/>
      <c r="H724" s="89"/>
      <c r="I724" s="89"/>
      <c r="J724" s="89"/>
      <c r="S724" s="13"/>
      <c r="T724" s="13"/>
      <c r="U724" s="13"/>
      <c r="V724" s="13"/>
      <c r="W724" s="13"/>
      <c r="X724" s="13"/>
      <c r="Y724" s="13"/>
      <c r="Z724" s="13"/>
      <c r="AA724" s="13"/>
      <c r="AB724" s="13"/>
    </row>
    <row r="725" hidden="1">
      <c r="C725" s="89"/>
      <c r="D725" s="89"/>
      <c r="G725" s="56"/>
      <c r="H725" s="89"/>
      <c r="I725" s="89"/>
      <c r="J725" s="89"/>
      <c r="S725" s="13"/>
      <c r="T725" s="13"/>
      <c r="U725" s="13"/>
      <c r="V725" s="13"/>
      <c r="W725" s="13"/>
      <c r="X725" s="13"/>
      <c r="Y725" s="13"/>
      <c r="Z725" s="13"/>
      <c r="AA725" s="13"/>
      <c r="AB725" s="13"/>
    </row>
    <row r="726" hidden="1">
      <c r="C726" s="89"/>
      <c r="D726" s="89"/>
      <c r="G726" s="56"/>
      <c r="H726" s="89"/>
      <c r="I726" s="89"/>
      <c r="J726" s="89"/>
      <c r="S726" s="13"/>
      <c r="T726" s="13"/>
      <c r="U726" s="13"/>
      <c r="V726" s="13"/>
      <c r="W726" s="13"/>
      <c r="X726" s="13"/>
      <c r="Y726" s="13"/>
      <c r="Z726" s="13"/>
      <c r="AA726" s="13"/>
      <c r="AB726" s="13"/>
    </row>
    <row r="727" hidden="1">
      <c r="C727" s="89"/>
      <c r="D727" s="89"/>
      <c r="G727" s="56"/>
      <c r="H727" s="89"/>
      <c r="I727" s="89"/>
      <c r="J727" s="89"/>
      <c r="S727" s="13"/>
      <c r="T727" s="13"/>
      <c r="U727" s="13"/>
      <c r="V727" s="13"/>
      <c r="W727" s="13"/>
      <c r="X727" s="13"/>
      <c r="Y727" s="13"/>
      <c r="Z727" s="13"/>
      <c r="AA727" s="13"/>
      <c r="AB727" s="13"/>
    </row>
    <row r="728" hidden="1">
      <c r="C728" s="89"/>
      <c r="D728" s="89"/>
      <c r="G728" s="56"/>
      <c r="H728" s="89"/>
      <c r="I728" s="89"/>
      <c r="J728" s="89"/>
      <c r="S728" s="13"/>
      <c r="T728" s="13"/>
      <c r="U728" s="13"/>
      <c r="V728" s="13"/>
      <c r="W728" s="13"/>
      <c r="X728" s="13"/>
      <c r="Y728" s="13"/>
      <c r="Z728" s="13"/>
      <c r="AA728" s="13"/>
      <c r="AB728" s="13"/>
    </row>
    <row r="729" hidden="1">
      <c r="C729" s="89"/>
      <c r="D729" s="89"/>
      <c r="G729" s="56"/>
      <c r="H729" s="89"/>
      <c r="I729" s="89"/>
      <c r="J729" s="89"/>
      <c r="S729" s="13"/>
      <c r="T729" s="13"/>
      <c r="U729" s="13"/>
      <c r="V729" s="13"/>
      <c r="W729" s="13"/>
      <c r="X729" s="13"/>
      <c r="Y729" s="13"/>
      <c r="Z729" s="13"/>
      <c r="AA729" s="13"/>
      <c r="AB729" s="13"/>
    </row>
    <row r="730" hidden="1">
      <c r="C730" s="89"/>
      <c r="D730" s="89"/>
      <c r="G730" s="56"/>
      <c r="H730" s="89"/>
      <c r="I730" s="89"/>
      <c r="J730" s="89"/>
      <c r="S730" s="13"/>
      <c r="T730" s="13"/>
      <c r="U730" s="13"/>
      <c r="V730" s="13"/>
      <c r="W730" s="13"/>
      <c r="X730" s="13"/>
      <c r="Y730" s="13"/>
      <c r="Z730" s="13"/>
      <c r="AA730" s="13"/>
      <c r="AB730" s="13"/>
    </row>
    <row r="731" hidden="1">
      <c r="C731" s="89"/>
      <c r="D731" s="89"/>
      <c r="G731" s="56"/>
      <c r="H731" s="89"/>
      <c r="I731" s="89"/>
      <c r="J731" s="89"/>
      <c r="S731" s="13"/>
      <c r="T731" s="13"/>
      <c r="U731" s="13"/>
      <c r="V731" s="13"/>
      <c r="W731" s="13"/>
      <c r="X731" s="13"/>
      <c r="Y731" s="13"/>
      <c r="Z731" s="13"/>
      <c r="AA731" s="13"/>
      <c r="AB731" s="13"/>
    </row>
    <row r="732" hidden="1">
      <c r="C732" s="89"/>
      <c r="D732" s="89"/>
      <c r="G732" s="56"/>
      <c r="H732" s="89"/>
      <c r="I732" s="89"/>
      <c r="J732" s="89"/>
      <c r="S732" s="13"/>
      <c r="T732" s="13"/>
      <c r="U732" s="13"/>
      <c r="V732" s="13"/>
      <c r="W732" s="13"/>
      <c r="X732" s="13"/>
      <c r="Y732" s="13"/>
      <c r="Z732" s="13"/>
      <c r="AA732" s="13"/>
      <c r="AB732" s="13"/>
    </row>
    <row r="733" hidden="1">
      <c r="C733" s="89"/>
      <c r="D733" s="89"/>
      <c r="G733" s="56"/>
      <c r="H733" s="89"/>
      <c r="I733" s="89"/>
      <c r="J733" s="89"/>
      <c r="S733" s="13"/>
      <c r="T733" s="13"/>
      <c r="U733" s="13"/>
      <c r="V733" s="13"/>
      <c r="W733" s="13"/>
      <c r="X733" s="13"/>
      <c r="Y733" s="13"/>
      <c r="Z733" s="13"/>
      <c r="AA733" s="13"/>
      <c r="AB733" s="13"/>
    </row>
    <row r="734" hidden="1">
      <c r="C734" s="89"/>
      <c r="D734" s="89"/>
      <c r="G734" s="56"/>
      <c r="H734" s="89"/>
      <c r="I734" s="89"/>
      <c r="J734" s="89"/>
      <c r="S734" s="13"/>
      <c r="T734" s="13"/>
      <c r="U734" s="13"/>
      <c r="V734" s="13"/>
      <c r="W734" s="13"/>
      <c r="X734" s="13"/>
      <c r="Y734" s="13"/>
      <c r="Z734" s="13"/>
      <c r="AA734" s="13"/>
      <c r="AB734" s="13"/>
    </row>
    <row r="735" hidden="1">
      <c r="C735" s="89"/>
      <c r="D735" s="89"/>
      <c r="G735" s="56"/>
      <c r="H735" s="89"/>
      <c r="I735" s="89"/>
      <c r="J735" s="89"/>
      <c r="S735" s="13"/>
      <c r="T735" s="13"/>
      <c r="U735" s="13"/>
      <c r="V735" s="13"/>
      <c r="W735" s="13"/>
      <c r="X735" s="13"/>
      <c r="Y735" s="13"/>
      <c r="Z735" s="13"/>
      <c r="AA735" s="13"/>
      <c r="AB735" s="13"/>
    </row>
    <row r="736" hidden="1">
      <c r="C736" s="89"/>
      <c r="D736" s="89"/>
      <c r="G736" s="56"/>
      <c r="H736" s="89"/>
      <c r="I736" s="89"/>
      <c r="J736" s="89"/>
      <c r="S736" s="13"/>
      <c r="T736" s="13"/>
      <c r="U736" s="13"/>
      <c r="V736" s="13"/>
      <c r="W736" s="13"/>
      <c r="X736" s="13"/>
      <c r="Y736" s="13"/>
      <c r="Z736" s="13"/>
      <c r="AA736" s="13"/>
      <c r="AB736" s="13"/>
    </row>
    <row r="737" hidden="1">
      <c r="C737" s="89"/>
      <c r="D737" s="89"/>
      <c r="G737" s="56"/>
      <c r="H737" s="89"/>
      <c r="I737" s="89"/>
      <c r="J737" s="89"/>
      <c r="S737" s="13"/>
      <c r="T737" s="13"/>
      <c r="U737" s="13"/>
      <c r="V737" s="13"/>
      <c r="W737" s="13"/>
      <c r="X737" s="13"/>
      <c r="Y737" s="13"/>
      <c r="Z737" s="13"/>
      <c r="AA737" s="13"/>
      <c r="AB737" s="13"/>
    </row>
    <row r="738" hidden="1">
      <c r="C738" s="89"/>
      <c r="D738" s="89"/>
      <c r="G738" s="56"/>
      <c r="H738" s="89"/>
      <c r="I738" s="89"/>
      <c r="J738" s="89"/>
      <c r="S738" s="13"/>
      <c r="T738" s="13"/>
      <c r="U738" s="13"/>
      <c r="V738" s="13"/>
      <c r="W738" s="13"/>
      <c r="X738" s="13"/>
      <c r="Y738" s="13"/>
      <c r="Z738" s="13"/>
      <c r="AA738" s="13"/>
      <c r="AB738" s="13"/>
    </row>
    <row r="739" hidden="1">
      <c r="C739" s="89"/>
      <c r="D739" s="89"/>
      <c r="G739" s="56"/>
      <c r="H739" s="89"/>
      <c r="I739" s="89"/>
      <c r="J739" s="89"/>
      <c r="S739" s="13"/>
      <c r="T739" s="13"/>
      <c r="U739" s="13"/>
      <c r="V739" s="13"/>
      <c r="W739" s="13"/>
      <c r="X739" s="13"/>
      <c r="Y739" s="13"/>
      <c r="Z739" s="13"/>
      <c r="AA739" s="13"/>
      <c r="AB739" s="13"/>
    </row>
    <row r="740" hidden="1">
      <c r="C740" s="89"/>
      <c r="D740" s="89"/>
      <c r="G740" s="56"/>
      <c r="H740" s="89"/>
      <c r="I740" s="89"/>
      <c r="J740" s="89"/>
      <c r="S740" s="13"/>
      <c r="T740" s="13"/>
      <c r="U740" s="13"/>
      <c r="V740" s="13"/>
      <c r="W740" s="13"/>
      <c r="X740" s="13"/>
      <c r="Y740" s="13"/>
      <c r="Z740" s="13"/>
      <c r="AA740" s="13"/>
      <c r="AB740" s="13"/>
    </row>
    <row r="741" hidden="1">
      <c r="C741" s="89"/>
      <c r="D741" s="89"/>
      <c r="G741" s="56"/>
      <c r="H741" s="89"/>
      <c r="I741" s="89"/>
      <c r="J741" s="89"/>
      <c r="S741" s="13"/>
      <c r="T741" s="13"/>
      <c r="U741" s="13"/>
      <c r="V741" s="13"/>
      <c r="W741" s="13"/>
      <c r="X741" s="13"/>
      <c r="Y741" s="13"/>
      <c r="Z741" s="13"/>
      <c r="AA741" s="13"/>
      <c r="AB741" s="13"/>
    </row>
    <row r="742" hidden="1">
      <c r="C742" s="89"/>
      <c r="D742" s="89"/>
      <c r="G742" s="56"/>
      <c r="H742" s="89"/>
      <c r="I742" s="89"/>
      <c r="J742" s="89"/>
      <c r="S742" s="13"/>
      <c r="T742" s="13"/>
      <c r="U742" s="13"/>
      <c r="V742" s="13"/>
      <c r="W742" s="13"/>
      <c r="X742" s="13"/>
      <c r="Y742" s="13"/>
      <c r="Z742" s="13"/>
      <c r="AA742" s="13"/>
      <c r="AB742" s="13"/>
    </row>
    <row r="743" hidden="1">
      <c r="C743" s="89"/>
      <c r="D743" s="89"/>
      <c r="G743" s="56"/>
      <c r="H743" s="89"/>
      <c r="I743" s="89"/>
      <c r="J743" s="89"/>
      <c r="S743" s="13"/>
      <c r="T743" s="13"/>
      <c r="U743" s="13"/>
      <c r="V743" s="13"/>
      <c r="W743" s="13"/>
      <c r="X743" s="13"/>
      <c r="Y743" s="13"/>
      <c r="Z743" s="13"/>
      <c r="AA743" s="13"/>
      <c r="AB743" s="13"/>
    </row>
    <row r="744" hidden="1">
      <c r="C744" s="89"/>
      <c r="D744" s="89"/>
      <c r="G744" s="56"/>
      <c r="H744" s="89"/>
      <c r="I744" s="89"/>
      <c r="J744" s="89"/>
      <c r="S744" s="13"/>
      <c r="T744" s="13"/>
      <c r="U744" s="13"/>
      <c r="V744" s="13"/>
      <c r="W744" s="13"/>
      <c r="X744" s="13"/>
      <c r="Y744" s="13"/>
      <c r="Z744" s="13"/>
      <c r="AA744" s="13"/>
      <c r="AB744" s="13"/>
    </row>
    <row r="745" hidden="1">
      <c r="C745" s="89"/>
      <c r="D745" s="89"/>
      <c r="G745" s="56"/>
      <c r="H745" s="89"/>
      <c r="I745" s="89"/>
      <c r="J745" s="89"/>
      <c r="S745" s="13"/>
      <c r="T745" s="13"/>
      <c r="U745" s="13"/>
      <c r="V745" s="13"/>
      <c r="W745" s="13"/>
      <c r="X745" s="13"/>
      <c r="Y745" s="13"/>
      <c r="Z745" s="13"/>
      <c r="AA745" s="13"/>
      <c r="AB745" s="13"/>
    </row>
    <row r="746" hidden="1">
      <c r="C746" s="89"/>
      <c r="D746" s="89"/>
      <c r="G746" s="56"/>
      <c r="H746" s="89"/>
      <c r="I746" s="89"/>
      <c r="J746" s="89"/>
      <c r="S746" s="13"/>
      <c r="T746" s="13"/>
      <c r="U746" s="13"/>
      <c r="V746" s="13"/>
      <c r="W746" s="13"/>
      <c r="X746" s="13"/>
      <c r="Y746" s="13"/>
      <c r="Z746" s="13"/>
      <c r="AA746" s="13"/>
      <c r="AB746" s="13"/>
    </row>
    <row r="747" hidden="1">
      <c r="C747" s="89"/>
      <c r="D747" s="89"/>
      <c r="G747" s="56"/>
      <c r="H747" s="89"/>
      <c r="I747" s="89"/>
      <c r="J747" s="89"/>
      <c r="S747" s="13"/>
      <c r="T747" s="13"/>
      <c r="U747" s="13"/>
      <c r="V747" s="13"/>
      <c r="W747" s="13"/>
      <c r="X747" s="13"/>
      <c r="Y747" s="13"/>
      <c r="Z747" s="13"/>
      <c r="AA747" s="13"/>
      <c r="AB747" s="13"/>
    </row>
    <row r="748" hidden="1">
      <c r="C748" s="89"/>
      <c r="D748" s="89"/>
      <c r="G748" s="56"/>
      <c r="H748" s="89"/>
      <c r="I748" s="89"/>
      <c r="J748" s="89"/>
      <c r="S748" s="13"/>
      <c r="T748" s="13"/>
      <c r="U748" s="13"/>
      <c r="V748" s="13"/>
      <c r="W748" s="13"/>
      <c r="X748" s="13"/>
      <c r="Y748" s="13"/>
      <c r="Z748" s="13"/>
      <c r="AA748" s="13"/>
      <c r="AB748" s="13"/>
    </row>
    <row r="749" hidden="1">
      <c r="C749" s="89"/>
      <c r="D749" s="89"/>
      <c r="G749" s="56"/>
      <c r="H749" s="89"/>
      <c r="I749" s="89"/>
      <c r="J749" s="89"/>
      <c r="S749" s="13"/>
      <c r="T749" s="13"/>
      <c r="U749" s="13"/>
      <c r="V749" s="13"/>
      <c r="W749" s="13"/>
      <c r="X749" s="13"/>
      <c r="Y749" s="13"/>
      <c r="Z749" s="13"/>
      <c r="AA749" s="13"/>
      <c r="AB749" s="13"/>
    </row>
    <row r="750" hidden="1">
      <c r="C750" s="89"/>
      <c r="D750" s="89"/>
      <c r="G750" s="56"/>
      <c r="H750" s="89"/>
      <c r="I750" s="89"/>
      <c r="J750" s="89"/>
      <c r="S750" s="13"/>
      <c r="T750" s="13"/>
      <c r="U750" s="13"/>
      <c r="V750" s="13"/>
      <c r="W750" s="13"/>
      <c r="X750" s="13"/>
      <c r="Y750" s="13"/>
      <c r="Z750" s="13"/>
      <c r="AA750" s="13"/>
      <c r="AB750" s="13"/>
    </row>
    <row r="751" hidden="1">
      <c r="C751" s="89"/>
      <c r="D751" s="89"/>
      <c r="G751" s="56"/>
      <c r="H751" s="89"/>
      <c r="I751" s="89"/>
      <c r="J751" s="89"/>
      <c r="S751" s="13"/>
      <c r="T751" s="13"/>
      <c r="U751" s="13"/>
      <c r="V751" s="13"/>
      <c r="W751" s="13"/>
      <c r="X751" s="13"/>
      <c r="Y751" s="13"/>
      <c r="Z751" s="13"/>
      <c r="AA751" s="13"/>
      <c r="AB751" s="13"/>
    </row>
    <row r="752" hidden="1">
      <c r="C752" s="89"/>
      <c r="D752" s="89"/>
      <c r="G752" s="56"/>
      <c r="H752" s="89"/>
      <c r="I752" s="89"/>
      <c r="J752" s="89"/>
      <c r="S752" s="13"/>
      <c r="T752" s="13"/>
      <c r="U752" s="13"/>
      <c r="V752" s="13"/>
      <c r="W752" s="13"/>
      <c r="X752" s="13"/>
      <c r="Y752" s="13"/>
      <c r="Z752" s="13"/>
      <c r="AA752" s="13"/>
      <c r="AB752" s="13"/>
    </row>
    <row r="753" hidden="1">
      <c r="C753" s="89"/>
      <c r="D753" s="89"/>
      <c r="G753" s="56"/>
      <c r="H753" s="89"/>
      <c r="I753" s="89"/>
      <c r="J753" s="89"/>
      <c r="S753" s="13"/>
      <c r="T753" s="13"/>
      <c r="U753" s="13"/>
      <c r="V753" s="13"/>
      <c r="W753" s="13"/>
      <c r="X753" s="13"/>
      <c r="Y753" s="13"/>
      <c r="Z753" s="13"/>
      <c r="AA753" s="13"/>
      <c r="AB753" s="13"/>
    </row>
    <row r="754" hidden="1">
      <c r="C754" s="89"/>
      <c r="D754" s="89"/>
      <c r="G754" s="56"/>
      <c r="H754" s="89"/>
      <c r="I754" s="89"/>
      <c r="J754" s="89"/>
      <c r="S754" s="13"/>
      <c r="T754" s="13"/>
      <c r="U754" s="13"/>
      <c r="V754" s="13"/>
      <c r="W754" s="13"/>
      <c r="X754" s="13"/>
      <c r="Y754" s="13"/>
      <c r="Z754" s="13"/>
      <c r="AA754" s="13"/>
      <c r="AB754" s="13"/>
    </row>
    <row r="755" hidden="1">
      <c r="C755" s="89"/>
      <c r="D755" s="89"/>
      <c r="G755" s="56"/>
      <c r="H755" s="89"/>
      <c r="I755" s="89"/>
      <c r="J755" s="89"/>
      <c r="S755" s="13"/>
      <c r="T755" s="13"/>
      <c r="U755" s="13"/>
      <c r="V755" s="13"/>
      <c r="W755" s="13"/>
      <c r="X755" s="13"/>
      <c r="Y755" s="13"/>
      <c r="Z755" s="13"/>
      <c r="AA755" s="13"/>
      <c r="AB755" s="13"/>
    </row>
    <row r="756" hidden="1">
      <c r="C756" s="89"/>
      <c r="D756" s="89"/>
      <c r="G756" s="56"/>
      <c r="H756" s="89"/>
      <c r="I756" s="89"/>
      <c r="J756" s="89"/>
      <c r="S756" s="13"/>
      <c r="T756" s="13"/>
      <c r="U756" s="13"/>
      <c r="V756" s="13"/>
      <c r="W756" s="13"/>
      <c r="X756" s="13"/>
      <c r="Y756" s="13"/>
      <c r="Z756" s="13"/>
      <c r="AA756" s="13"/>
      <c r="AB756" s="13"/>
    </row>
    <row r="757" hidden="1">
      <c r="C757" s="89"/>
      <c r="D757" s="89"/>
      <c r="G757" s="56"/>
      <c r="H757" s="89"/>
      <c r="I757" s="89"/>
      <c r="J757" s="89"/>
      <c r="S757" s="13"/>
      <c r="T757" s="13"/>
      <c r="U757" s="13"/>
      <c r="V757" s="13"/>
      <c r="W757" s="13"/>
      <c r="X757" s="13"/>
      <c r="Y757" s="13"/>
      <c r="Z757" s="13"/>
      <c r="AA757" s="13"/>
      <c r="AB757" s="13"/>
    </row>
    <row r="758" hidden="1">
      <c r="C758" s="89"/>
      <c r="D758" s="89"/>
      <c r="G758" s="56"/>
      <c r="H758" s="89"/>
      <c r="I758" s="89"/>
      <c r="J758" s="89"/>
      <c r="S758" s="13"/>
      <c r="T758" s="13"/>
      <c r="U758" s="13"/>
      <c r="V758" s="13"/>
      <c r="W758" s="13"/>
      <c r="X758" s="13"/>
      <c r="Y758" s="13"/>
      <c r="Z758" s="13"/>
      <c r="AA758" s="13"/>
      <c r="AB758" s="13"/>
    </row>
    <row r="759" hidden="1">
      <c r="C759" s="89"/>
      <c r="D759" s="89"/>
      <c r="G759" s="56"/>
      <c r="H759" s="89"/>
      <c r="I759" s="89"/>
      <c r="J759" s="89"/>
      <c r="S759" s="13"/>
      <c r="T759" s="13"/>
      <c r="U759" s="13"/>
      <c r="V759" s="13"/>
      <c r="W759" s="13"/>
      <c r="X759" s="13"/>
      <c r="Y759" s="13"/>
      <c r="Z759" s="13"/>
      <c r="AA759" s="13"/>
      <c r="AB759" s="13"/>
    </row>
    <row r="760" hidden="1">
      <c r="C760" s="89"/>
      <c r="D760" s="89"/>
      <c r="G760" s="56"/>
      <c r="H760" s="89"/>
      <c r="I760" s="89"/>
      <c r="J760" s="89"/>
      <c r="S760" s="13"/>
      <c r="T760" s="13"/>
      <c r="U760" s="13"/>
      <c r="V760" s="13"/>
      <c r="W760" s="13"/>
      <c r="X760" s="13"/>
      <c r="Y760" s="13"/>
      <c r="Z760" s="13"/>
      <c r="AA760" s="13"/>
      <c r="AB760" s="13"/>
    </row>
    <row r="761" hidden="1">
      <c r="C761" s="89"/>
      <c r="D761" s="89"/>
      <c r="G761" s="56"/>
      <c r="H761" s="89"/>
      <c r="I761" s="89"/>
      <c r="J761" s="89"/>
      <c r="S761" s="13"/>
      <c r="T761" s="13"/>
      <c r="U761" s="13"/>
      <c r="V761" s="13"/>
      <c r="W761" s="13"/>
      <c r="X761" s="13"/>
      <c r="Y761" s="13"/>
      <c r="Z761" s="13"/>
      <c r="AA761" s="13"/>
      <c r="AB761" s="13"/>
    </row>
    <row r="762" hidden="1">
      <c r="C762" s="89"/>
      <c r="D762" s="89"/>
      <c r="G762" s="56"/>
      <c r="H762" s="89"/>
      <c r="I762" s="89"/>
      <c r="J762" s="89"/>
      <c r="S762" s="13"/>
      <c r="T762" s="13"/>
      <c r="U762" s="13"/>
      <c r="V762" s="13"/>
      <c r="W762" s="13"/>
      <c r="X762" s="13"/>
      <c r="Y762" s="13"/>
      <c r="Z762" s="13"/>
      <c r="AA762" s="13"/>
      <c r="AB762" s="13"/>
    </row>
    <row r="763" hidden="1">
      <c r="C763" s="89"/>
      <c r="D763" s="89"/>
      <c r="G763" s="56"/>
      <c r="H763" s="89"/>
      <c r="I763" s="89"/>
      <c r="J763" s="89"/>
      <c r="S763" s="13"/>
      <c r="T763" s="13"/>
      <c r="U763" s="13"/>
      <c r="V763" s="13"/>
      <c r="W763" s="13"/>
      <c r="X763" s="13"/>
      <c r="Y763" s="13"/>
      <c r="Z763" s="13"/>
      <c r="AA763" s="13"/>
      <c r="AB763" s="13"/>
    </row>
    <row r="764" hidden="1">
      <c r="C764" s="89"/>
      <c r="D764" s="89"/>
      <c r="G764" s="56"/>
      <c r="H764" s="89"/>
      <c r="I764" s="89"/>
      <c r="J764" s="89"/>
      <c r="S764" s="13"/>
      <c r="T764" s="13"/>
      <c r="U764" s="13"/>
      <c r="V764" s="13"/>
      <c r="W764" s="13"/>
      <c r="X764" s="13"/>
      <c r="Y764" s="13"/>
      <c r="Z764" s="13"/>
      <c r="AA764" s="13"/>
      <c r="AB764" s="13"/>
    </row>
    <row r="765" hidden="1">
      <c r="C765" s="89"/>
      <c r="D765" s="89"/>
      <c r="G765" s="56"/>
      <c r="H765" s="89"/>
      <c r="I765" s="89"/>
      <c r="J765" s="89"/>
      <c r="S765" s="13"/>
      <c r="T765" s="13"/>
      <c r="U765" s="13"/>
      <c r="V765" s="13"/>
      <c r="W765" s="13"/>
      <c r="X765" s="13"/>
      <c r="Y765" s="13"/>
      <c r="Z765" s="13"/>
      <c r="AA765" s="13"/>
      <c r="AB765" s="13"/>
    </row>
    <row r="766" hidden="1">
      <c r="C766" s="89"/>
      <c r="D766" s="89"/>
      <c r="G766" s="56"/>
      <c r="H766" s="89"/>
      <c r="I766" s="89"/>
      <c r="J766" s="89"/>
      <c r="S766" s="13"/>
      <c r="T766" s="13"/>
      <c r="U766" s="13"/>
      <c r="V766" s="13"/>
      <c r="W766" s="13"/>
      <c r="X766" s="13"/>
      <c r="Y766" s="13"/>
      <c r="Z766" s="13"/>
      <c r="AA766" s="13"/>
      <c r="AB766" s="13"/>
    </row>
    <row r="767" hidden="1">
      <c r="C767" s="89"/>
      <c r="D767" s="89"/>
      <c r="G767" s="56"/>
      <c r="H767" s="89"/>
      <c r="I767" s="89"/>
      <c r="J767" s="89"/>
      <c r="S767" s="13"/>
      <c r="T767" s="13"/>
      <c r="U767" s="13"/>
      <c r="V767" s="13"/>
      <c r="W767" s="13"/>
      <c r="X767" s="13"/>
      <c r="Y767" s="13"/>
      <c r="Z767" s="13"/>
      <c r="AA767" s="13"/>
      <c r="AB767" s="13"/>
    </row>
    <row r="768" hidden="1">
      <c r="C768" s="89"/>
      <c r="D768" s="89"/>
      <c r="G768" s="56"/>
      <c r="H768" s="89"/>
      <c r="I768" s="89"/>
      <c r="J768" s="89"/>
      <c r="S768" s="13"/>
      <c r="T768" s="13"/>
      <c r="U768" s="13"/>
      <c r="V768" s="13"/>
      <c r="W768" s="13"/>
      <c r="X768" s="13"/>
      <c r="Y768" s="13"/>
      <c r="Z768" s="13"/>
      <c r="AA768" s="13"/>
      <c r="AB768" s="13"/>
    </row>
    <row r="769" hidden="1">
      <c r="C769" s="89"/>
      <c r="D769" s="89"/>
      <c r="G769" s="56"/>
      <c r="H769" s="89"/>
      <c r="I769" s="89"/>
      <c r="J769" s="89"/>
      <c r="S769" s="13"/>
      <c r="T769" s="13"/>
      <c r="U769" s="13"/>
      <c r="V769" s="13"/>
      <c r="W769" s="13"/>
      <c r="X769" s="13"/>
      <c r="Y769" s="13"/>
      <c r="Z769" s="13"/>
      <c r="AA769" s="13"/>
      <c r="AB769" s="13"/>
    </row>
    <row r="770" hidden="1">
      <c r="C770" s="89"/>
      <c r="D770" s="89"/>
      <c r="G770" s="56"/>
      <c r="H770" s="89"/>
      <c r="I770" s="89"/>
      <c r="J770" s="89"/>
      <c r="S770" s="13"/>
      <c r="T770" s="13"/>
      <c r="U770" s="13"/>
      <c r="V770" s="13"/>
      <c r="W770" s="13"/>
      <c r="X770" s="13"/>
      <c r="Y770" s="13"/>
      <c r="Z770" s="13"/>
      <c r="AA770" s="13"/>
      <c r="AB770" s="13"/>
    </row>
    <row r="771" hidden="1">
      <c r="C771" s="89"/>
      <c r="D771" s="89"/>
      <c r="G771" s="56"/>
      <c r="H771" s="89"/>
      <c r="I771" s="89"/>
      <c r="J771" s="89"/>
      <c r="S771" s="13"/>
      <c r="T771" s="13"/>
      <c r="U771" s="13"/>
      <c r="V771" s="13"/>
      <c r="W771" s="13"/>
      <c r="X771" s="13"/>
      <c r="Y771" s="13"/>
      <c r="Z771" s="13"/>
      <c r="AA771" s="13"/>
      <c r="AB771" s="13"/>
    </row>
    <row r="772" hidden="1">
      <c r="C772" s="89"/>
      <c r="D772" s="89"/>
      <c r="G772" s="56"/>
      <c r="H772" s="89"/>
      <c r="I772" s="89"/>
      <c r="J772" s="89"/>
      <c r="S772" s="13"/>
      <c r="T772" s="13"/>
      <c r="U772" s="13"/>
      <c r="V772" s="13"/>
      <c r="W772" s="13"/>
      <c r="X772" s="13"/>
      <c r="Y772" s="13"/>
      <c r="Z772" s="13"/>
      <c r="AA772" s="13"/>
      <c r="AB772" s="13"/>
    </row>
    <row r="773" hidden="1">
      <c r="C773" s="89"/>
      <c r="D773" s="89"/>
      <c r="G773" s="56"/>
      <c r="H773" s="89"/>
      <c r="I773" s="89"/>
      <c r="J773" s="89"/>
      <c r="S773" s="13"/>
      <c r="T773" s="13"/>
      <c r="U773" s="13"/>
      <c r="V773" s="13"/>
      <c r="W773" s="13"/>
      <c r="X773" s="13"/>
      <c r="Y773" s="13"/>
      <c r="Z773" s="13"/>
      <c r="AA773" s="13"/>
      <c r="AB773" s="13"/>
    </row>
    <row r="774" hidden="1">
      <c r="C774" s="89"/>
      <c r="D774" s="89"/>
      <c r="G774" s="56"/>
      <c r="H774" s="89"/>
      <c r="I774" s="89"/>
      <c r="J774" s="89"/>
      <c r="S774" s="13"/>
      <c r="T774" s="13"/>
      <c r="U774" s="13"/>
      <c r="V774" s="13"/>
      <c r="W774" s="13"/>
      <c r="X774" s="13"/>
      <c r="Y774" s="13"/>
      <c r="Z774" s="13"/>
      <c r="AA774" s="13"/>
      <c r="AB774" s="13"/>
    </row>
    <row r="775" hidden="1">
      <c r="C775" s="89"/>
      <c r="D775" s="89"/>
      <c r="G775" s="56"/>
      <c r="H775" s="89"/>
      <c r="I775" s="89"/>
      <c r="J775" s="89"/>
      <c r="S775" s="13"/>
      <c r="T775" s="13"/>
      <c r="U775" s="13"/>
      <c r="V775" s="13"/>
      <c r="W775" s="13"/>
      <c r="X775" s="13"/>
      <c r="Y775" s="13"/>
      <c r="Z775" s="13"/>
      <c r="AA775" s="13"/>
      <c r="AB775" s="13"/>
    </row>
    <row r="776" hidden="1">
      <c r="C776" s="89"/>
      <c r="D776" s="89"/>
      <c r="G776" s="56"/>
      <c r="H776" s="89"/>
      <c r="I776" s="89"/>
      <c r="J776" s="89"/>
      <c r="S776" s="13"/>
      <c r="T776" s="13"/>
      <c r="U776" s="13"/>
      <c r="V776" s="13"/>
      <c r="W776" s="13"/>
      <c r="X776" s="13"/>
      <c r="Y776" s="13"/>
      <c r="Z776" s="13"/>
      <c r="AA776" s="13"/>
      <c r="AB776" s="13"/>
    </row>
    <row r="777" hidden="1">
      <c r="C777" s="89"/>
      <c r="D777" s="89"/>
      <c r="G777" s="56"/>
      <c r="H777" s="89"/>
      <c r="I777" s="89"/>
      <c r="J777" s="89"/>
      <c r="S777" s="13"/>
      <c r="T777" s="13"/>
      <c r="U777" s="13"/>
      <c r="V777" s="13"/>
      <c r="W777" s="13"/>
      <c r="X777" s="13"/>
      <c r="Y777" s="13"/>
      <c r="Z777" s="13"/>
      <c r="AA777" s="13"/>
      <c r="AB777" s="13"/>
    </row>
    <row r="778" hidden="1">
      <c r="C778" s="89"/>
      <c r="D778" s="89"/>
      <c r="G778" s="56"/>
      <c r="H778" s="89"/>
      <c r="I778" s="89"/>
      <c r="J778" s="89"/>
      <c r="S778" s="13"/>
      <c r="T778" s="13"/>
      <c r="U778" s="13"/>
      <c r="V778" s="13"/>
      <c r="W778" s="13"/>
      <c r="X778" s="13"/>
      <c r="Y778" s="13"/>
      <c r="Z778" s="13"/>
      <c r="AA778" s="13"/>
      <c r="AB778" s="13"/>
    </row>
    <row r="779" hidden="1">
      <c r="C779" s="89"/>
      <c r="D779" s="89"/>
      <c r="G779" s="56"/>
      <c r="H779" s="89"/>
      <c r="I779" s="89"/>
      <c r="J779" s="89"/>
      <c r="S779" s="13"/>
      <c r="T779" s="13"/>
      <c r="U779" s="13"/>
      <c r="V779" s="13"/>
      <c r="W779" s="13"/>
      <c r="X779" s="13"/>
      <c r="Y779" s="13"/>
      <c r="Z779" s="13"/>
      <c r="AA779" s="13"/>
      <c r="AB779" s="13"/>
    </row>
    <row r="780" hidden="1">
      <c r="C780" s="89"/>
      <c r="D780" s="89"/>
      <c r="G780" s="56"/>
      <c r="H780" s="89"/>
      <c r="I780" s="89"/>
      <c r="J780" s="89"/>
      <c r="S780" s="13"/>
      <c r="T780" s="13"/>
      <c r="U780" s="13"/>
      <c r="V780" s="13"/>
      <c r="W780" s="13"/>
      <c r="X780" s="13"/>
      <c r="Y780" s="13"/>
      <c r="Z780" s="13"/>
      <c r="AA780" s="13"/>
      <c r="AB780" s="13"/>
    </row>
    <row r="781" hidden="1">
      <c r="C781" s="89"/>
      <c r="D781" s="89"/>
      <c r="G781" s="56"/>
      <c r="H781" s="89"/>
      <c r="I781" s="89"/>
      <c r="J781" s="89"/>
      <c r="S781" s="13"/>
      <c r="T781" s="13"/>
      <c r="U781" s="13"/>
      <c r="V781" s="13"/>
      <c r="W781" s="13"/>
      <c r="X781" s="13"/>
      <c r="Y781" s="13"/>
      <c r="Z781" s="13"/>
      <c r="AA781" s="13"/>
      <c r="AB781" s="13"/>
    </row>
    <row r="782" hidden="1">
      <c r="C782" s="89"/>
      <c r="D782" s="89"/>
      <c r="G782" s="56"/>
      <c r="H782" s="89"/>
      <c r="I782" s="89"/>
      <c r="J782" s="89"/>
      <c r="S782" s="13"/>
      <c r="T782" s="13"/>
      <c r="U782" s="13"/>
      <c r="V782" s="13"/>
      <c r="W782" s="13"/>
      <c r="X782" s="13"/>
      <c r="Y782" s="13"/>
      <c r="Z782" s="13"/>
      <c r="AA782" s="13"/>
      <c r="AB782" s="13"/>
    </row>
    <row r="783" hidden="1">
      <c r="C783" s="89"/>
      <c r="D783" s="89"/>
      <c r="G783" s="56"/>
      <c r="H783" s="89"/>
      <c r="I783" s="89"/>
      <c r="J783" s="89"/>
      <c r="S783" s="13"/>
      <c r="T783" s="13"/>
      <c r="U783" s="13"/>
      <c r="V783" s="13"/>
      <c r="W783" s="13"/>
      <c r="X783" s="13"/>
      <c r="Y783" s="13"/>
      <c r="Z783" s="13"/>
      <c r="AA783" s="13"/>
      <c r="AB783" s="13"/>
    </row>
    <row r="784" hidden="1">
      <c r="C784" s="89"/>
      <c r="D784" s="89"/>
      <c r="G784" s="56"/>
      <c r="H784" s="89"/>
      <c r="I784" s="89"/>
      <c r="J784" s="89"/>
      <c r="S784" s="13"/>
      <c r="T784" s="13"/>
      <c r="U784" s="13"/>
      <c r="V784" s="13"/>
      <c r="W784" s="13"/>
      <c r="X784" s="13"/>
      <c r="Y784" s="13"/>
      <c r="Z784" s="13"/>
      <c r="AA784" s="13"/>
      <c r="AB784" s="13"/>
    </row>
    <row r="785" hidden="1">
      <c r="C785" s="89"/>
      <c r="D785" s="89"/>
      <c r="G785" s="56"/>
      <c r="H785" s="89"/>
      <c r="I785" s="89"/>
      <c r="J785" s="89"/>
      <c r="S785" s="13"/>
      <c r="T785" s="13"/>
      <c r="U785" s="13"/>
      <c r="V785" s="13"/>
      <c r="W785" s="13"/>
      <c r="X785" s="13"/>
      <c r="Y785" s="13"/>
      <c r="Z785" s="13"/>
      <c r="AA785" s="13"/>
      <c r="AB785" s="13"/>
    </row>
    <row r="786" hidden="1">
      <c r="C786" s="89"/>
      <c r="D786" s="89"/>
      <c r="G786" s="56"/>
      <c r="H786" s="89"/>
      <c r="I786" s="89"/>
      <c r="J786" s="89"/>
      <c r="S786" s="13"/>
      <c r="T786" s="13"/>
      <c r="U786" s="13"/>
      <c r="V786" s="13"/>
      <c r="W786" s="13"/>
      <c r="X786" s="13"/>
      <c r="Y786" s="13"/>
      <c r="Z786" s="13"/>
      <c r="AA786" s="13"/>
      <c r="AB786" s="13"/>
    </row>
    <row r="787" hidden="1">
      <c r="C787" s="89"/>
      <c r="D787" s="89"/>
      <c r="G787" s="56"/>
      <c r="H787" s="89"/>
      <c r="I787" s="89"/>
      <c r="J787" s="89"/>
      <c r="S787" s="13"/>
      <c r="T787" s="13"/>
      <c r="U787" s="13"/>
      <c r="V787" s="13"/>
      <c r="W787" s="13"/>
      <c r="X787" s="13"/>
      <c r="Y787" s="13"/>
      <c r="Z787" s="13"/>
      <c r="AA787" s="13"/>
      <c r="AB787" s="13"/>
    </row>
    <row r="788" hidden="1">
      <c r="C788" s="89"/>
      <c r="D788" s="89"/>
      <c r="G788" s="56"/>
      <c r="H788" s="89"/>
      <c r="I788" s="89"/>
      <c r="J788" s="89"/>
      <c r="S788" s="13"/>
      <c r="T788" s="13"/>
      <c r="U788" s="13"/>
      <c r="V788" s="13"/>
      <c r="W788" s="13"/>
      <c r="X788" s="13"/>
      <c r="Y788" s="13"/>
      <c r="Z788" s="13"/>
      <c r="AA788" s="13"/>
      <c r="AB788" s="13"/>
    </row>
    <row r="789" hidden="1">
      <c r="C789" s="89"/>
      <c r="D789" s="89"/>
      <c r="G789" s="56"/>
      <c r="H789" s="89"/>
      <c r="I789" s="89"/>
      <c r="J789" s="89"/>
      <c r="S789" s="13"/>
      <c r="T789" s="13"/>
      <c r="U789" s="13"/>
      <c r="V789" s="13"/>
      <c r="W789" s="13"/>
      <c r="X789" s="13"/>
      <c r="Y789" s="13"/>
      <c r="Z789" s="13"/>
      <c r="AA789" s="13"/>
      <c r="AB789" s="13"/>
    </row>
    <row r="790" hidden="1">
      <c r="C790" s="89"/>
      <c r="D790" s="89"/>
      <c r="G790" s="56"/>
      <c r="H790" s="89"/>
      <c r="I790" s="89"/>
      <c r="J790" s="89"/>
      <c r="S790" s="13"/>
      <c r="T790" s="13"/>
      <c r="U790" s="13"/>
      <c r="V790" s="13"/>
      <c r="W790" s="13"/>
      <c r="X790" s="13"/>
      <c r="Y790" s="13"/>
      <c r="Z790" s="13"/>
      <c r="AA790" s="13"/>
      <c r="AB790" s="13"/>
    </row>
    <row r="791" hidden="1">
      <c r="C791" s="89"/>
      <c r="D791" s="89"/>
      <c r="G791" s="56"/>
      <c r="H791" s="89"/>
      <c r="I791" s="89"/>
      <c r="J791" s="89"/>
      <c r="S791" s="13"/>
      <c r="T791" s="13"/>
      <c r="U791" s="13"/>
      <c r="V791" s="13"/>
      <c r="W791" s="13"/>
      <c r="X791" s="13"/>
      <c r="Y791" s="13"/>
      <c r="Z791" s="13"/>
      <c r="AA791" s="13"/>
      <c r="AB791" s="13"/>
    </row>
    <row r="792" hidden="1">
      <c r="C792" s="89"/>
      <c r="D792" s="89"/>
      <c r="G792" s="56"/>
      <c r="H792" s="89"/>
      <c r="I792" s="89"/>
      <c r="J792" s="89"/>
      <c r="S792" s="13"/>
      <c r="T792" s="13"/>
      <c r="U792" s="13"/>
      <c r="V792" s="13"/>
      <c r="W792" s="13"/>
      <c r="X792" s="13"/>
      <c r="Y792" s="13"/>
      <c r="Z792" s="13"/>
      <c r="AA792" s="13"/>
      <c r="AB792" s="13"/>
    </row>
    <row r="793" hidden="1">
      <c r="C793" s="89"/>
      <c r="D793" s="89"/>
      <c r="G793" s="56"/>
      <c r="H793" s="89"/>
      <c r="I793" s="89"/>
      <c r="J793" s="89"/>
      <c r="S793" s="13"/>
      <c r="T793" s="13"/>
      <c r="U793" s="13"/>
      <c r="V793" s="13"/>
      <c r="W793" s="13"/>
      <c r="X793" s="13"/>
      <c r="Y793" s="13"/>
      <c r="Z793" s="13"/>
      <c r="AA793" s="13"/>
      <c r="AB793" s="13"/>
    </row>
    <row r="794" hidden="1">
      <c r="C794" s="89"/>
      <c r="D794" s="89"/>
      <c r="G794" s="56"/>
      <c r="H794" s="89"/>
      <c r="I794" s="89"/>
      <c r="J794" s="89"/>
      <c r="S794" s="13"/>
      <c r="T794" s="13"/>
      <c r="U794" s="13"/>
      <c r="V794" s="13"/>
      <c r="W794" s="13"/>
      <c r="X794" s="13"/>
      <c r="Y794" s="13"/>
      <c r="Z794" s="13"/>
      <c r="AA794" s="13"/>
      <c r="AB794" s="13"/>
    </row>
    <row r="795" hidden="1">
      <c r="C795" s="89"/>
      <c r="D795" s="89"/>
      <c r="G795" s="56"/>
      <c r="H795" s="89"/>
      <c r="I795" s="89"/>
      <c r="J795" s="89"/>
      <c r="S795" s="13"/>
      <c r="T795" s="13"/>
      <c r="U795" s="13"/>
      <c r="V795" s="13"/>
      <c r="W795" s="13"/>
      <c r="X795" s="13"/>
      <c r="Y795" s="13"/>
      <c r="Z795" s="13"/>
      <c r="AA795" s="13"/>
      <c r="AB795" s="13"/>
    </row>
    <row r="796" hidden="1">
      <c r="C796" s="89"/>
      <c r="D796" s="89"/>
      <c r="G796" s="56"/>
      <c r="H796" s="89"/>
      <c r="I796" s="89"/>
      <c r="J796" s="89"/>
      <c r="S796" s="13"/>
      <c r="T796" s="13"/>
      <c r="U796" s="13"/>
      <c r="V796" s="13"/>
      <c r="W796" s="13"/>
      <c r="X796" s="13"/>
      <c r="Y796" s="13"/>
      <c r="Z796" s="13"/>
      <c r="AA796" s="13"/>
      <c r="AB796" s="13"/>
    </row>
    <row r="797" hidden="1">
      <c r="C797" s="89"/>
      <c r="D797" s="89"/>
      <c r="G797" s="56"/>
      <c r="H797" s="89"/>
      <c r="I797" s="89"/>
      <c r="J797" s="89"/>
      <c r="S797" s="13"/>
      <c r="T797" s="13"/>
      <c r="U797" s="13"/>
      <c r="V797" s="13"/>
      <c r="W797" s="13"/>
      <c r="X797" s="13"/>
      <c r="Y797" s="13"/>
      <c r="Z797" s="13"/>
      <c r="AA797" s="13"/>
      <c r="AB797" s="13"/>
    </row>
    <row r="798" hidden="1">
      <c r="C798" s="89"/>
      <c r="D798" s="89"/>
      <c r="G798" s="56"/>
      <c r="H798" s="89"/>
      <c r="I798" s="89"/>
      <c r="J798" s="89"/>
      <c r="S798" s="13"/>
      <c r="T798" s="13"/>
      <c r="U798" s="13"/>
      <c r="V798" s="13"/>
      <c r="W798" s="13"/>
      <c r="X798" s="13"/>
      <c r="Y798" s="13"/>
      <c r="Z798" s="13"/>
      <c r="AA798" s="13"/>
      <c r="AB798" s="13"/>
    </row>
    <row r="799" hidden="1">
      <c r="C799" s="89"/>
      <c r="D799" s="89"/>
      <c r="G799" s="56"/>
      <c r="H799" s="89"/>
      <c r="I799" s="89"/>
      <c r="J799" s="89"/>
      <c r="S799" s="13"/>
      <c r="T799" s="13"/>
      <c r="U799" s="13"/>
      <c r="V799" s="13"/>
      <c r="W799" s="13"/>
      <c r="X799" s="13"/>
      <c r="Y799" s="13"/>
      <c r="Z799" s="13"/>
      <c r="AA799" s="13"/>
      <c r="AB799" s="13"/>
    </row>
    <row r="800" hidden="1">
      <c r="C800" s="89"/>
      <c r="D800" s="89"/>
      <c r="G800" s="56"/>
      <c r="H800" s="89"/>
      <c r="I800" s="89"/>
      <c r="J800" s="89"/>
      <c r="S800" s="13"/>
      <c r="T800" s="13"/>
      <c r="U800" s="13"/>
      <c r="V800" s="13"/>
      <c r="W800" s="13"/>
      <c r="X800" s="13"/>
      <c r="Y800" s="13"/>
      <c r="Z800" s="13"/>
      <c r="AA800" s="13"/>
      <c r="AB800" s="13"/>
    </row>
    <row r="801" hidden="1">
      <c r="C801" s="89"/>
      <c r="D801" s="89"/>
      <c r="G801" s="56"/>
      <c r="H801" s="89"/>
      <c r="I801" s="89"/>
      <c r="J801" s="89"/>
      <c r="S801" s="13"/>
      <c r="T801" s="13"/>
      <c r="U801" s="13"/>
      <c r="V801" s="13"/>
      <c r="W801" s="13"/>
      <c r="X801" s="13"/>
      <c r="Y801" s="13"/>
      <c r="Z801" s="13"/>
      <c r="AA801" s="13"/>
      <c r="AB801" s="13"/>
    </row>
    <row r="802" hidden="1">
      <c r="C802" s="89"/>
      <c r="D802" s="89"/>
      <c r="G802" s="56"/>
      <c r="H802" s="89"/>
      <c r="I802" s="89"/>
      <c r="J802" s="89"/>
      <c r="S802" s="13"/>
      <c r="T802" s="13"/>
      <c r="U802" s="13"/>
      <c r="V802" s="13"/>
      <c r="W802" s="13"/>
      <c r="X802" s="13"/>
      <c r="Y802" s="13"/>
      <c r="Z802" s="13"/>
      <c r="AA802" s="13"/>
      <c r="AB802" s="13"/>
    </row>
    <row r="803" hidden="1">
      <c r="C803" s="89"/>
      <c r="D803" s="89"/>
      <c r="G803" s="56"/>
      <c r="H803" s="89"/>
      <c r="I803" s="89"/>
      <c r="J803" s="89"/>
      <c r="S803" s="13"/>
      <c r="T803" s="13"/>
      <c r="U803" s="13"/>
      <c r="V803" s="13"/>
      <c r="W803" s="13"/>
      <c r="X803" s="13"/>
      <c r="Y803" s="13"/>
      <c r="Z803" s="13"/>
      <c r="AA803" s="13"/>
      <c r="AB803" s="13"/>
    </row>
    <row r="804" hidden="1">
      <c r="C804" s="89"/>
      <c r="D804" s="89"/>
      <c r="G804" s="56"/>
      <c r="H804" s="89"/>
      <c r="I804" s="89"/>
      <c r="J804" s="89"/>
      <c r="S804" s="13"/>
      <c r="T804" s="13"/>
      <c r="U804" s="13"/>
      <c r="V804" s="13"/>
      <c r="W804" s="13"/>
      <c r="X804" s="13"/>
      <c r="Y804" s="13"/>
      <c r="Z804" s="13"/>
      <c r="AA804" s="13"/>
      <c r="AB804" s="13"/>
    </row>
    <row r="805" hidden="1">
      <c r="C805" s="89"/>
      <c r="D805" s="89"/>
      <c r="G805" s="56"/>
      <c r="H805" s="89"/>
      <c r="I805" s="89"/>
      <c r="J805" s="89"/>
      <c r="S805" s="13"/>
      <c r="T805" s="13"/>
      <c r="U805" s="13"/>
      <c r="V805" s="13"/>
      <c r="W805" s="13"/>
      <c r="X805" s="13"/>
      <c r="Y805" s="13"/>
      <c r="Z805" s="13"/>
      <c r="AA805" s="13"/>
      <c r="AB805" s="13"/>
    </row>
    <row r="806" hidden="1">
      <c r="C806" s="89"/>
      <c r="D806" s="89"/>
      <c r="G806" s="56"/>
      <c r="H806" s="89"/>
      <c r="I806" s="89"/>
      <c r="J806" s="89"/>
      <c r="S806" s="13"/>
      <c r="T806" s="13"/>
      <c r="U806" s="13"/>
      <c r="V806" s="13"/>
      <c r="W806" s="13"/>
      <c r="X806" s="13"/>
      <c r="Y806" s="13"/>
      <c r="Z806" s="13"/>
      <c r="AA806" s="13"/>
      <c r="AB806" s="13"/>
    </row>
    <row r="807" hidden="1">
      <c r="C807" s="89"/>
      <c r="D807" s="89"/>
      <c r="G807" s="56"/>
      <c r="H807" s="89"/>
      <c r="I807" s="89"/>
      <c r="J807" s="89"/>
      <c r="S807" s="13"/>
      <c r="T807" s="13"/>
      <c r="U807" s="13"/>
      <c r="V807" s="13"/>
      <c r="W807" s="13"/>
      <c r="X807" s="13"/>
      <c r="Y807" s="13"/>
      <c r="Z807" s="13"/>
      <c r="AA807" s="13"/>
      <c r="AB807" s="13"/>
    </row>
    <row r="808" hidden="1">
      <c r="C808" s="89"/>
      <c r="D808" s="89"/>
      <c r="G808" s="56"/>
      <c r="H808" s="89"/>
      <c r="I808" s="89"/>
      <c r="J808" s="89"/>
      <c r="S808" s="13"/>
      <c r="T808" s="13"/>
      <c r="U808" s="13"/>
      <c r="V808" s="13"/>
      <c r="W808" s="13"/>
      <c r="X808" s="13"/>
      <c r="Y808" s="13"/>
      <c r="Z808" s="13"/>
      <c r="AA808" s="13"/>
      <c r="AB808" s="13"/>
    </row>
    <row r="809" hidden="1">
      <c r="C809" s="89"/>
      <c r="D809" s="89"/>
      <c r="G809" s="56"/>
      <c r="H809" s="89"/>
      <c r="I809" s="89"/>
      <c r="J809" s="89"/>
      <c r="S809" s="13"/>
      <c r="T809" s="13"/>
      <c r="U809" s="13"/>
      <c r="V809" s="13"/>
      <c r="W809" s="13"/>
      <c r="X809" s="13"/>
      <c r="Y809" s="13"/>
      <c r="Z809" s="13"/>
      <c r="AA809" s="13"/>
      <c r="AB809" s="13"/>
    </row>
    <row r="810" hidden="1">
      <c r="C810" s="89"/>
      <c r="D810" s="89"/>
      <c r="G810" s="56"/>
      <c r="H810" s="89"/>
      <c r="I810" s="89"/>
      <c r="J810" s="89"/>
      <c r="S810" s="13"/>
      <c r="T810" s="13"/>
      <c r="U810" s="13"/>
      <c r="V810" s="13"/>
      <c r="W810" s="13"/>
      <c r="X810" s="13"/>
      <c r="Y810" s="13"/>
      <c r="Z810" s="13"/>
      <c r="AA810" s="13"/>
      <c r="AB810" s="13"/>
    </row>
    <row r="811" hidden="1">
      <c r="C811" s="89"/>
      <c r="D811" s="89"/>
      <c r="G811" s="56"/>
      <c r="H811" s="89"/>
      <c r="I811" s="89"/>
      <c r="J811" s="89"/>
      <c r="S811" s="13"/>
      <c r="T811" s="13"/>
      <c r="U811" s="13"/>
      <c r="V811" s="13"/>
      <c r="W811" s="13"/>
      <c r="X811" s="13"/>
      <c r="Y811" s="13"/>
      <c r="Z811" s="13"/>
      <c r="AA811" s="13"/>
      <c r="AB811" s="13"/>
    </row>
    <row r="812" hidden="1">
      <c r="C812" s="89"/>
      <c r="D812" s="89"/>
      <c r="G812" s="56"/>
      <c r="H812" s="89"/>
      <c r="I812" s="89"/>
      <c r="J812" s="89"/>
      <c r="S812" s="13"/>
      <c r="T812" s="13"/>
      <c r="U812" s="13"/>
      <c r="V812" s="13"/>
      <c r="W812" s="13"/>
      <c r="X812" s="13"/>
      <c r="Y812" s="13"/>
      <c r="Z812" s="13"/>
      <c r="AA812" s="13"/>
      <c r="AB812" s="13"/>
    </row>
    <row r="813" hidden="1">
      <c r="C813" s="89"/>
      <c r="D813" s="89"/>
      <c r="G813" s="56"/>
      <c r="H813" s="89"/>
      <c r="I813" s="89"/>
      <c r="J813" s="89"/>
      <c r="S813" s="13"/>
      <c r="T813" s="13"/>
      <c r="U813" s="13"/>
      <c r="V813" s="13"/>
      <c r="W813" s="13"/>
      <c r="X813" s="13"/>
      <c r="Y813" s="13"/>
      <c r="Z813" s="13"/>
      <c r="AA813" s="13"/>
      <c r="AB813" s="13"/>
    </row>
    <row r="814" hidden="1">
      <c r="C814" s="89"/>
      <c r="D814" s="89"/>
      <c r="G814" s="56"/>
      <c r="H814" s="89"/>
      <c r="I814" s="89"/>
      <c r="J814" s="89"/>
      <c r="S814" s="13"/>
      <c r="T814" s="13"/>
      <c r="U814" s="13"/>
      <c r="V814" s="13"/>
      <c r="W814" s="13"/>
      <c r="X814" s="13"/>
      <c r="Y814" s="13"/>
      <c r="Z814" s="13"/>
      <c r="AA814" s="13"/>
      <c r="AB814" s="13"/>
    </row>
    <row r="815" hidden="1">
      <c r="C815" s="89"/>
      <c r="D815" s="89"/>
      <c r="G815" s="56"/>
      <c r="H815" s="89"/>
      <c r="I815" s="89"/>
      <c r="J815" s="89"/>
      <c r="S815" s="13"/>
      <c r="T815" s="13"/>
      <c r="U815" s="13"/>
      <c r="V815" s="13"/>
      <c r="W815" s="13"/>
      <c r="X815" s="13"/>
      <c r="Y815" s="13"/>
      <c r="Z815" s="13"/>
      <c r="AA815" s="13"/>
      <c r="AB815" s="13"/>
    </row>
    <row r="816" hidden="1">
      <c r="C816" s="89"/>
      <c r="D816" s="89"/>
      <c r="G816" s="56"/>
      <c r="H816" s="89"/>
      <c r="I816" s="89"/>
      <c r="J816" s="89"/>
      <c r="S816" s="13"/>
      <c r="T816" s="13"/>
      <c r="U816" s="13"/>
      <c r="V816" s="13"/>
      <c r="W816" s="13"/>
      <c r="X816" s="13"/>
      <c r="Y816" s="13"/>
      <c r="Z816" s="13"/>
      <c r="AA816" s="13"/>
      <c r="AB816" s="13"/>
    </row>
    <row r="817" hidden="1">
      <c r="C817" s="89"/>
      <c r="D817" s="89"/>
      <c r="G817" s="56"/>
      <c r="H817" s="89"/>
      <c r="I817" s="89"/>
      <c r="J817" s="89"/>
      <c r="S817" s="13"/>
      <c r="T817" s="13"/>
      <c r="U817" s="13"/>
      <c r="V817" s="13"/>
      <c r="W817" s="13"/>
      <c r="X817" s="13"/>
      <c r="Y817" s="13"/>
      <c r="Z817" s="13"/>
      <c r="AA817" s="13"/>
      <c r="AB817" s="13"/>
    </row>
    <row r="818" hidden="1">
      <c r="C818" s="89"/>
      <c r="D818" s="89"/>
      <c r="G818" s="56"/>
      <c r="H818" s="89"/>
      <c r="I818" s="89"/>
      <c r="J818" s="89"/>
      <c r="S818" s="13"/>
      <c r="T818" s="13"/>
      <c r="U818" s="13"/>
      <c r="V818" s="13"/>
      <c r="W818" s="13"/>
      <c r="X818" s="13"/>
      <c r="Y818" s="13"/>
      <c r="Z818" s="13"/>
      <c r="AA818" s="13"/>
      <c r="AB818" s="13"/>
    </row>
    <row r="819" hidden="1">
      <c r="C819" s="89"/>
      <c r="D819" s="89"/>
      <c r="G819" s="56"/>
      <c r="H819" s="89"/>
      <c r="I819" s="89"/>
      <c r="J819" s="89"/>
      <c r="S819" s="13"/>
      <c r="T819" s="13"/>
      <c r="U819" s="13"/>
      <c r="V819" s="13"/>
      <c r="W819" s="13"/>
      <c r="X819" s="13"/>
      <c r="Y819" s="13"/>
      <c r="Z819" s="13"/>
      <c r="AA819" s="13"/>
      <c r="AB819" s="13"/>
    </row>
    <row r="820" hidden="1">
      <c r="C820" s="89"/>
      <c r="D820" s="89"/>
      <c r="G820" s="56"/>
      <c r="H820" s="89"/>
      <c r="I820" s="89"/>
      <c r="J820" s="89"/>
      <c r="S820" s="13"/>
      <c r="T820" s="13"/>
      <c r="U820" s="13"/>
      <c r="V820" s="13"/>
      <c r="W820" s="13"/>
      <c r="X820" s="13"/>
      <c r="Y820" s="13"/>
      <c r="Z820" s="13"/>
      <c r="AA820" s="13"/>
      <c r="AB820" s="13"/>
    </row>
    <row r="821" hidden="1">
      <c r="C821" s="89"/>
      <c r="D821" s="89"/>
      <c r="G821" s="56"/>
      <c r="H821" s="89"/>
      <c r="I821" s="89"/>
      <c r="J821" s="89"/>
      <c r="S821" s="13"/>
      <c r="T821" s="13"/>
      <c r="U821" s="13"/>
      <c r="V821" s="13"/>
      <c r="W821" s="13"/>
      <c r="X821" s="13"/>
      <c r="Y821" s="13"/>
      <c r="Z821" s="13"/>
      <c r="AA821" s="13"/>
      <c r="AB821" s="13"/>
    </row>
    <row r="822" hidden="1">
      <c r="C822" s="89"/>
      <c r="D822" s="89"/>
      <c r="G822" s="56"/>
      <c r="H822" s="89"/>
      <c r="I822" s="89"/>
      <c r="J822" s="89"/>
      <c r="S822" s="13"/>
      <c r="T822" s="13"/>
      <c r="U822" s="13"/>
      <c r="V822" s="13"/>
      <c r="W822" s="13"/>
      <c r="X822" s="13"/>
      <c r="Y822" s="13"/>
      <c r="Z822" s="13"/>
      <c r="AA822" s="13"/>
      <c r="AB822" s="13"/>
    </row>
    <row r="823" hidden="1">
      <c r="C823" s="89"/>
      <c r="D823" s="89"/>
      <c r="G823" s="56"/>
      <c r="H823" s="89"/>
      <c r="I823" s="89"/>
      <c r="J823" s="89"/>
      <c r="S823" s="13"/>
      <c r="T823" s="13"/>
      <c r="U823" s="13"/>
      <c r="V823" s="13"/>
      <c r="W823" s="13"/>
      <c r="X823" s="13"/>
      <c r="Y823" s="13"/>
      <c r="Z823" s="13"/>
      <c r="AA823" s="13"/>
      <c r="AB823" s="13"/>
    </row>
    <row r="824" hidden="1">
      <c r="C824" s="89"/>
      <c r="D824" s="89"/>
      <c r="G824" s="56"/>
      <c r="H824" s="89"/>
      <c r="I824" s="89"/>
      <c r="J824" s="89"/>
      <c r="S824" s="13"/>
      <c r="T824" s="13"/>
      <c r="U824" s="13"/>
      <c r="V824" s="13"/>
      <c r="W824" s="13"/>
      <c r="X824" s="13"/>
      <c r="Y824" s="13"/>
      <c r="Z824" s="13"/>
      <c r="AA824" s="13"/>
      <c r="AB824" s="13"/>
    </row>
    <row r="825" hidden="1">
      <c r="C825" s="89"/>
      <c r="D825" s="89"/>
      <c r="G825" s="56"/>
      <c r="H825" s="89"/>
      <c r="I825" s="89"/>
      <c r="J825" s="89"/>
      <c r="S825" s="13"/>
      <c r="T825" s="13"/>
      <c r="U825" s="13"/>
      <c r="V825" s="13"/>
      <c r="W825" s="13"/>
      <c r="X825" s="13"/>
      <c r="Y825" s="13"/>
      <c r="Z825" s="13"/>
      <c r="AA825" s="13"/>
      <c r="AB825" s="13"/>
    </row>
    <row r="826" hidden="1">
      <c r="C826" s="89"/>
      <c r="D826" s="89"/>
      <c r="G826" s="56"/>
      <c r="H826" s="89"/>
      <c r="I826" s="89"/>
      <c r="J826" s="89"/>
      <c r="S826" s="13"/>
      <c r="T826" s="13"/>
      <c r="U826" s="13"/>
      <c r="V826" s="13"/>
      <c r="W826" s="13"/>
      <c r="X826" s="13"/>
      <c r="Y826" s="13"/>
      <c r="Z826" s="13"/>
      <c r="AA826" s="13"/>
      <c r="AB826" s="13"/>
    </row>
    <row r="827" hidden="1">
      <c r="C827" s="89"/>
      <c r="D827" s="89"/>
      <c r="G827" s="56"/>
      <c r="H827" s="89"/>
      <c r="I827" s="89"/>
      <c r="J827" s="89"/>
      <c r="S827" s="13"/>
      <c r="T827" s="13"/>
      <c r="U827" s="13"/>
      <c r="V827" s="13"/>
      <c r="W827" s="13"/>
      <c r="X827" s="13"/>
      <c r="Y827" s="13"/>
      <c r="Z827" s="13"/>
      <c r="AA827" s="13"/>
      <c r="AB827" s="13"/>
    </row>
    <row r="828" hidden="1">
      <c r="C828" s="89"/>
      <c r="D828" s="89"/>
      <c r="G828" s="56"/>
      <c r="H828" s="89"/>
      <c r="I828" s="89"/>
      <c r="J828" s="89"/>
      <c r="S828" s="13"/>
      <c r="T828" s="13"/>
      <c r="U828" s="13"/>
      <c r="V828" s="13"/>
      <c r="W828" s="13"/>
      <c r="X828" s="13"/>
      <c r="Y828" s="13"/>
      <c r="Z828" s="13"/>
      <c r="AA828" s="13"/>
      <c r="AB828" s="13"/>
    </row>
    <row r="829" hidden="1">
      <c r="C829" s="89"/>
      <c r="D829" s="89"/>
      <c r="G829" s="56"/>
      <c r="H829" s="89"/>
      <c r="I829" s="89"/>
      <c r="J829" s="89"/>
      <c r="S829" s="13"/>
      <c r="T829" s="13"/>
      <c r="U829" s="13"/>
      <c r="V829" s="13"/>
      <c r="W829" s="13"/>
      <c r="X829" s="13"/>
      <c r="Y829" s="13"/>
      <c r="Z829" s="13"/>
      <c r="AA829" s="13"/>
      <c r="AB829" s="13"/>
    </row>
    <row r="830" hidden="1">
      <c r="C830" s="89"/>
      <c r="D830" s="89"/>
      <c r="G830" s="56"/>
      <c r="H830" s="89"/>
      <c r="I830" s="89"/>
      <c r="J830" s="89"/>
      <c r="S830" s="13"/>
      <c r="T830" s="13"/>
      <c r="U830" s="13"/>
      <c r="V830" s="13"/>
      <c r="W830" s="13"/>
      <c r="X830" s="13"/>
      <c r="Y830" s="13"/>
      <c r="Z830" s="13"/>
      <c r="AA830" s="13"/>
      <c r="AB830" s="13"/>
    </row>
    <row r="831" hidden="1">
      <c r="C831" s="89"/>
      <c r="D831" s="89"/>
      <c r="G831" s="56"/>
      <c r="H831" s="89"/>
      <c r="I831" s="89"/>
      <c r="J831" s="89"/>
      <c r="S831" s="13"/>
      <c r="T831" s="13"/>
      <c r="U831" s="13"/>
      <c r="V831" s="13"/>
      <c r="W831" s="13"/>
      <c r="X831" s="13"/>
      <c r="Y831" s="13"/>
      <c r="Z831" s="13"/>
      <c r="AA831" s="13"/>
      <c r="AB831" s="13"/>
    </row>
    <row r="832" hidden="1">
      <c r="C832" s="89"/>
      <c r="D832" s="89"/>
      <c r="G832" s="56"/>
      <c r="H832" s="89"/>
      <c r="I832" s="89"/>
      <c r="J832" s="89"/>
      <c r="S832" s="13"/>
      <c r="T832" s="13"/>
      <c r="U832" s="13"/>
      <c r="V832" s="13"/>
      <c r="W832" s="13"/>
      <c r="X832" s="13"/>
      <c r="Y832" s="13"/>
      <c r="Z832" s="13"/>
      <c r="AA832" s="13"/>
      <c r="AB832" s="13"/>
    </row>
    <row r="833" hidden="1">
      <c r="C833" s="89"/>
      <c r="D833" s="89"/>
      <c r="G833" s="56"/>
      <c r="H833" s="89"/>
      <c r="I833" s="89"/>
      <c r="J833" s="89"/>
      <c r="S833" s="13"/>
      <c r="T833" s="13"/>
      <c r="U833" s="13"/>
      <c r="V833" s="13"/>
      <c r="W833" s="13"/>
      <c r="X833" s="13"/>
      <c r="Y833" s="13"/>
      <c r="Z833" s="13"/>
      <c r="AA833" s="13"/>
      <c r="AB833" s="13"/>
    </row>
    <row r="834" hidden="1">
      <c r="C834" s="89"/>
      <c r="D834" s="89"/>
      <c r="G834" s="56"/>
      <c r="H834" s="89"/>
      <c r="I834" s="89"/>
      <c r="J834" s="89"/>
      <c r="S834" s="13"/>
      <c r="T834" s="13"/>
      <c r="U834" s="13"/>
      <c r="V834" s="13"/>
      <c r="W834" s="13"/>
      <c r="X834" s="13"/>
      <c r="Y834" s="13"/>
      <c r="Z834" s="13"/>
      <c r="AA834" s="13"/>
      <c r="AB834" s="13"/>
    </row>
    <row r="835" hidden="1">
      <c r="C835" s="89"/>
      <c r="D835" s="89"/>
      <c r="G835" s="56"/>
      <c r="H835" s="89"/>
      <c r="I835" s="89"/>
      <c r="J835" s="89"/>
      <c r="S835" s="13"/>
      <c r="T835" s="13"/>
      <c r="U835" s="13"/>
      <c r="V835" s="13"/>
      <c r="W835" s="13"/>
      <c r="X835" s="13"/>
      <c r="Y835" s="13"/>
      <c r="Z835" s="13"/>
      <c r="AA835" s="13"/>
      <c r="AB835" s="13"/>
    </row>
    <row r="836" hidden="1">
      <c r="C836" s="89"/>
      <c r="D836" s="89"/>
      <c r="G836" s="56"/>
      <c r="H836" s="89"/>
      <c r="I836" s="89"/>
      <c r="J836" s="89"/>
      <c r="S836" s="13"/>
      <c r="T836" s="13"/>
      <c r="U836" s="13"/>
      <c r="V836" s="13"/>
      <c r="W836" s="13"/>
      <c r="X836" s="13"/>
      <c r="Y836" s="13"/>
      <c r="Z836" s="13"/>
      <c r="AA836" s="13"/>
      <c r="AB836" s="13"/>
    </row>
    <row r="837" hidden="1">
      <c r="C837" s="89"/>
      <c r="D837" s="89"/>
      <c r="G837" s="56"/>
      <c r="H837" s="89"/>
      <c r="I837" s="89"/>
      <c r="J837" s="89"/>
      <c r="S837" s="13"/>
      <c r="T837" s="13"/>
      <c r="U837" s="13"/>
      <c r="V837" s="13"/>
      <c r="W837" s="13"/>
      <c r="X837" s="13"/>
      <c r="Y837" s="13"/>
      <c r="Z837" s="13"/>
      <c r="AA837" s="13"/>
      <c r="AB837" s="13"/>
    </row>
    <row r="838" hidden="1">
      <c r="C838" s="89"/>
      <c r="D838" s="89"/>
      <c r="G838" s="56"/>
      <c r="H838" s="89"/>
      <c r="I838" s="89"/>
      <c r="J838" s="89"/>
      <c r="S838" s="13"/>
      <c r="T838" s="13"/>
      <c r="U838" s="13"/>
      <c r="V838" s="13"/>
      <c r="W838" s="13"/>
      <c r="X838" s="13"/>
      <c r="Y838" s="13"/>
      <c r="Z838" s="13"/>
      <c r="AA838" s="13"/>
      <c r="AB838" s="13"/>
    </row>
    <row r="839" hidden="1">
      <c r="C839" s="89"/>
      <c r="D839" s="89"/>
      <c r="G839" s="56"/>
      <c r="H839" s="89"/>
      <c r="I839" s="89"/>
      <c r="J839" s="89"/>
      <c r="S839" s="13"/>
      <c r="T839" s="13"/>
      <c r="U839" s="13"/>
      <c r="V839" s="13"/>
      <c r="W839" s="13"/>
      <c r="X839" s="13"/>
      <c r="Y839" s="13"/>
      <c r="Z839" s="13"/>
      <c r="AA839" s="13"/>
      <c r="AB839" s="13"/>
    </row>
    <row r="840" hidden="1">
      <c r="C840" s="89"/>
      <c r="D840" s="89"/>
      <c r="G840" s="56"/>
      <c r="H840" s="89"/>
      <c r="I840" s="89"/>
      <c r="J840" s="89"/>
      <c r="S840" s="13"/>
      <c r="T840" s="13"/>
      <c r="U840" s="13"/>
      <c r="V840" s="13"/>
      <c r="W840" s="13"/>
      <c r="X840" s="13"/>
      <c r="Y840" s="13"/>
      <c r="Z840" s="13"/>
      <c r="AA840" s="13"/>
      <c r="AB840" s="13"/>
    </row>
    <row r="841" hidden="1">
      <c r="C841" s="89"/>
      <c r="D841" s="89"/>
      <c r="G841" s="56"/>
      <c r="H841" s="89"/>
      <c r="I841" s="89"/>
      <c r="J841" s="89"/>
      <c r="S841" s="13"/>
      <c r="T841" s="13"/>
      <c r="U841" s="13"/>
      <c r="V841" s="13"/>
      <c r="W841" s="13"/>
      <c r="X841" s="13"/>
      <c r="Y841" s="13"/>
      <c r="Z841" s="13"/>
      <c r="AA841" s="13"/>
      <c r="AB841" s="13"/>
    </row>
    <row r="842" hidden="1">
      <c r="C842" s="89"/>
      <c r="D842" s="89"/>
      <c r="G842" s="56"/>
      <c r="H842" s="89"/>
      <c r="I842" s="89"/>
      <c r="J842" s="89"/>
      <c r="S842" s="13"/>
      <c r="T842" s="13"/>
      <c r="U842" s="13"/>
      <c r="V842" s="13"/>
      <c r="W842" s="13"/>
      <c r="X842" s="13"/>
      <c r="Y842" s="13"/>
      <c r="Z842" s="13"/>
      <c r="AA842" s="13"/>
      <c r="AB842" s="13"/>
    </row>
    <row r="843" hidden="1">
      <c r="C843" s="89"/>
      <c r="D843" s="89"/>
      <c r="G843" s="56"/>
      <c r="H843" s="89"/>
      <c r="I843" s="89"/>
      <c r="J843" s="89"/>
      <c r="S843" s="13"/>
      <c r="T843" s="13"/>
      <c r="U843" s="13"/>
      <c r="V843" s="13"/>
      <c r="W843" s="13"/>
      <c r="X843" s="13"/>
      <c r="Y843" s="13"/>
      <c r="Z843" s="13"/>
      <c r="AA843" s="13"/>
      <c r="AB843" s="13"/>
    </row>
    <row r="844" hidden="1">
      <c r="C844" s="89"/>
      <c r="D844" s="89"/>
      <c r="G844" s="56"/>
      <c r="H844" s="89"/>
      <c r="I844" s="89"/>
      <c r="J844" s="89"/>
      <c r="S844" s="13"/>
      <c r="T844" s="13"/>
      <c r="U844" s="13"/>
      <c r="V844" s="13"/>
      <c r="W844" s="13"/>
      <c r="X844" s="13"/>
      <c r="Y844" s="13"/>
      <c r="Z844" s="13"/>
      <c r="AA844" s="13"/>
      <c r="AB844" s="13"/>
    </row>
    <row r="845" hidden="1">
      <c r="C845" s="89"/>
      <c r="D845" s="89"/>
      <c r="G845" s="56"/>
      <c r="H845" s="89"/>
      <c r="I845" s="89"/>
      <c r="J845" s="89"/>
      <c r="S845" s="13"/>
      <c r="T845" s="13"/>
      <c r="U845" s="13"/>
      <c r="V845" s="13"/>
      <c r="W845" s="13"/>
      <c r="X845" s="13"/>
      <c r="Y845" s="13"/>
      <c r="Z845" s="13"/>
      <c r="AA845" s="13"/>
      <c r="AB845" s="13"/>
    </row>
    <row r="846" hidden="1">
      <c r="C846" s="89"/>
      <c r="D846" s="89"/>
      <c r="G846" s="56"/>
      <c r="H846" s="89"/>
      <c r="I846" s="89"/>
      <c r="J846" s="89"/>
      <c r="S846" s="13"/>
      <c r="T846" s="13"/>
      <c r="U846" s="13"/>
      <c r="V846" s="13"/>
      <c r="W846" s="13"/>
      <c r="X846" s="13"/>
      <c r="Y846" s="13"/>
      <c r="Z846" s="13"/>
      <c r="AA846" s="13"/>
      <c r="AB846" s="13"/>
    </row>
    <row r="847" hidden="1">
      <c r="C847" s="89"/>
      <c r="D847" s="89"/>
      <c r="G847" s="56"/>
      <c r="H847" s="89"/>
      <c r="I847" s="89"/>
      <c r="J847" s="89"/>
      <c r="S847" s="13"/>
      <c r="T847" s="13"/>
      <c r="U847" s="13"/>
      <c r="V847" s="13"/>
      <c r="W847" s="13"/>
      <c r="X847" s="13"/>
      <c r="Y847" s="13"/>
      <c r="Z847" s="13"/>
      <c r="AA847" s="13"/>
      <c r="AB847" s="13"/>
    </row>
    <row r="848" hidden="1">
      <c r="C848" s="89"/>
      <c r="D848" s="89"/>
      <c r="G848" s="56"/>
      <c r="H848" s="89"/>
      <c r="I848" s="89"/>
      <c r="J848" s="89"/>
      <c r="S848" s="13"/>
      <c r="T848" s="13"/>
      <c r="U848" s="13"/>
      <c r="V848" s="13"/>
      <c r="W848" s="13"/>
      <c r="X848" s="13"/>
      <c r="Y848" s="13"/>
      <c r="Z848" s="13"/>
      <c r="AA848" s="13"/>
      <c r="AB848" s="13"/>
    </row>
    <row r="849" hidden="1">
      <c r="C849" s="89"/>
      <c r="D849" s="89"/>
      <c r="G849" s="56"/>
      <c r="H849" s="89"/>
      <c r="I849" s="89"/>
      <c r="J849" s="89"/>
      <c r="S849" s="13"/>
      <c r="T849" s="13"/>
      <c r="U849" s="13"/>
      <c r="V849" s="13"/>
      <c r="W849" s="13"/>
      <c r="X849" s="13"/>
      <c r="Y849" s="13"/>
      <c r="Z849" s="13"/>
      <c r="AA849" s="13"/>
      <c r="AB849" s="13"/>
    </row>
    <row r="850" hidden="1">
      <c r="C850" s="89"/>
      <c r="D850" s="89"/>
      <c r="G850" s="56"/>
      <c r="H850" s="89"/>
      <c r="I850" s="89"/>
      <c r="J850" s="89"/>
      <c r="S850" s="13"/>
      <c r="T850" s="13"/>
      <c r="U850" s="13"/>
      <c r="V850" s="13"/>
      <c r="W850" s="13"/>
      <c r="X850" s="13"/>
      <c r="Y850" s="13"/>
      <c r="Z850" s="13"/>
      <c r="AA850" s="13"/>
      <c r="AB850" s="13"/>
    </row>
    <row r="851" hidden="1">
      <c r="C851" s="89"/>
      <c r="D851" s="89"/>
      <c r="G851" s="56"/>
      <c r="H851" s="89"/>
      <c r="I851" s="89"/>
      <c r="J851" s="89"/>
      <c r="S851" s="13"/>
      <c r="T851" s="13"/>
      <c r="U851" s="13"/>
      <c r="V851" s="13"/>
      <c r="W851" s="13"/>
      <c r="X851" s="13"/>
      <c r="Y851" s="13"/>
      <c r="Z851" s="13"/>
      <c r="AA851" s="13"/>
      <c r="AB851" s="13"/>
    </row>
    <row r="852" hidden="1">
      <c r="C852" s="89"/>
      <c r="D852" s="89"/>
      <c r="G852" s="56"/>
      <c r="H852" s="89"/>
      <c r="I852" s="89"/>
      <c r="J852" s="89"/>
      <c r="S852" s="13"/>
      <c r="T852" s="13"/>
      <c r="U852" s="13"/>
      <c r="V852" s="13"/>
      <c r="W852" s="13"/>
      <c r="X852" s="13"/>
      <c r="Y852" s="13"/>
      <c r="Z852" s="13"/>
      <c r="AA852" s="13"/>
      <c r="AB852" s="13"/>
    </row>
    <row r="853" hidden="1">
      <c r="C853" s="89"/>
      <c r="D853" s="89"/>
      <c r="G853" s="56"/>
      <c r="H853" s="89"/>
      <c r="I853" s="89"/>
      <c r="J853" s="89"/>
      <c r="S853" s="13"/>
      <c r="T853" s="13"/>
      <c r="U853" s="13"/>
      <c r="V853" s="13"/>
      <c r="W853" s="13"/>
      <c r="X853" s="13"/>
      <c r="Y853" s="13"/>
      <c r="Z853" s="13"/>
      <c r="AA853" s="13"/>
      <c r="AB853" s="13"/>
    </row>
    <row r="854" hidden="1">
      <c r="C854" s="89"/>
      <c r="D854" s="89"/>
      <c r="G854" s="56"/>
      <c r="H854" s="89"/>
      <c r="I854" s="89"/>
      <c r="J854" s="89"/>
      <c r="S854" s="13"/>
      <c r="T854" s="13"/>
      <c r="U854" s="13"/>
      <c r="V854" s="13"/>
      <c r="W854" s="13"/>
      <c r="X854" s="13"/>
      <c r="Y854" s="13"/>
      <c r="Z854" s="13"/>
      <c r="AA854" s="13"/>
      <c r="AB854" s="13"/>
    </row>
    <row r="855" hidden="1">
      <c r="C855" s="89"/>
      <c r="D855" s="89"/>
      <c r="G855" s="56"/>
      <c r="H855" s="89"/>
      <c r="I855" s="89"/>
      <c r="J855" s="89"/>
      <c r="S855" s="13"/>
      <c r="T855" s="13"/>
      <c r="U855" s="13"/>
      <c r="V855" s="13"/>
      <c r="W855" s="13"/>
      <c r="X855" s="13"/>
      <c r="Y855" s="13"/>
      <c r="Z855" s="13"/>
      <c r="AA855" s="13"/>
      <c r="AB855" s="13"/>
    </row>
    <row r="856" hidden="1">
      <c r="C856" s="89"/>
      <c r="D856" s="89"/>
      <c r="G856" s="56"/>
      <c r="H856" s="89"/>
      <c r="I856" s="89"/>
      <c r="J856" s="89"/>
      <c r="S856" s="13"/>
      <c r="T856" s="13"/>
      <c r="U856" s="13"/>
      <c r="V856" s="13"/>
      <c r="W856" s="13"/>
      <c r="X856" s="13"/>
      <c r="Y856" s="13"/>
      <c r="Z856" s="13"/>
      <c r="AA856" s="13"/>
      <c r="AB856" s="13"/>
    </row>
    <row r="857" hidden="1">
      <c r="C857" s="89"/>
      <c r="D857" s="89"/>
      <c r="G857" s="56"/>
      <c r="H857" s="89"/>
      <c r="I857" s="89"/>
      <c r="J857" s="89"/>
      <c r="S857" s="13"/>
      <c r="T857" s="13"/>
      <c r="U857" s="13"/>
      <c r="V857" s="13"/>
      <c r="W857" s="13"/>
      <c r="X857" s="13"/>
      <c r="Y857" s="13"/>
      <c r="Z857" s="13"/>
      <c r="AA857" s="13"/>
      <c r="AB857" s="13"/>
    </row>
    <row r="858" hidden="1">
      <c r="C858" s="89"/>
      <c r="D858" s="89"/>
      <c r="G858" s="56"/>
      <c r="H858" s="89"/>
      <c r="I858" s="89"/>
      <c r="J858" s="89"/>
      <c r="S858" s="13"/>
      <c r="T858" s="13"/>
      <c r="U858" s="13"/>
      <c r="V858" s="13"/>
      <c r="W858" s="13"/>
      <c r="X858" s="13"/>
      <c r="Y858" s="13"/>
      <c r="Z858" s="13"/>
      <c r="AA858" s="13"/>
      <c r="AB858" s="13"/>
    </row>
    <row r="859" hidden="1">
      <c r="C859" s="89"/>
      <c r="D859" s="89"/>
      <c r="G859" s="56"/>
      <c r="H859" s="89"/>
      <c r="I859" s="89"/>
      <c r="J859" s="89"/>
      <c r="S859" s="13"/>
      <c r="T859" s="13"/>
      <c r="U859" s="13"/>
      <c r="V859" s="13"/>
      <c r="W859" s="13"/>
      <c r="X859" s="13"/>
      <c r="Y859" s="13"/>
      <c r="Z859" s="13"/>
      <c r="AA859" s="13"/>
      <c r="AB859" s="13"/>
    </row>
    <row r="860" hidden="1">
      <c r="C860" s="89"/>
      <c r="D860" s="89"/>
      <c r="G860" s="56"/>
      <c r="H860" s="89"/>
      <c r="I860" s="89"/>
      <c r="J860" s="89"/>
      <c r="S860" s="13"/>
      <c r="T860" s="13"/>
      <c r="U860" s="13"/>
      <c r="V860" s="13"/>
      <c r="W860" s="13"/>
      <c r="X860" s="13"/>
      <c r="Y860" s="13"/>
      <c r="Z860" s="13"/>
      <c r="AA860" s="13"/>
      <c r="AB860" s="13"/>
    </row>
    <row r="861" hidden="1">
      <c r="C861" s="89"/>
      <c r="D861" s="89"/>
      <c r="G861" s="56"/>
      <c r="H861" s="89"/>
      <c r="I861" s="89"/>
      <c r="J861" s="89"/>
      <c r="S861" s="13"/>
      <c r="T861" s="13"/>
      <c r="U861" s="13"/>
      <c r="V861" s="13"/>
      <c r="W861" s="13"/>
      <c r="X861" s="13"/>
      <c r="Y861" s="13"/>
      <c r="Z861" s="13"/>
      <c r="AA861" s="13"/>
      <c r="AB861" s="13"/>
    </row>
    <row r="862" hidden="1">
      <c r="C862" s="89"/>
      <c r="D862" s="89"/>
      <c r="G862" s="56"/>
      <c r="H862" s="89"/>
      <c r="I862" s="89"/>
      <c r="J862" s="89"/>
      <c r="S862" s="13"/>
      <c r="T862" s="13"/>
      <c r="U862" s="13"/>
      <c r="V862" s="13"/>
      <c r="W862" s="13"/>
      <c r="X862" s="13"/>
      <c r="Y862" s="13"/>
      <c r="Z862" s="13"/>
      <c r="AA862" s="13"/>
      <c r="AB862" s="13"/>
    </row>
    <row r="863" hidden="1">
      <c r="C863" s="89"/>
      <c r="D863" s="89"/>
      <c r="G863" s="56"/>
      <c r="H863" s="89"/>
      <c r="I863" s="89"/>
      <c r="J863" s="89"/>
      <c r="S863" s="13"/>
      <c r="T863" s="13"/>
      <c r="U863" s="13"/>
      <c r="V863" s="13"/>
      <c r="W863" s="13"/>
      <c r="X863" s="13"/>
      <c r="Y863" s="13"/>
      <c r="Z863" s="13"/>
      <c r="AA863" s="13"/>
      <c r="AB863" s="13"/>
    </row>
    <row r="864" hidden="1">
      <c r="C864" s="89"/>
      <c r="D864" s="89"/>
      <c r="G864" s="56"/>
      <c r="H864" s="89"/>
      <c r="I864" s="89"/>
      <c r="J864" s="89"/>
      <c r="S864" s="13"/>
      <c r="T864" s="13"/>
      <c r="U864" s="13"/>
      <c r="V864" s="13"/>
      <c r="W864" s="13"/>
      <c r="X864" s="13"/>
      <c r="Y864" s="13"/>
      <c r="Z864" s="13"/>
      <c r="AA864" s="13"/>
      <c r="AB864" s="13"/>
    </row>
    <row r="865" hidden="1">
      <c r="C865" s="89"/>
      <c r="D865" s="89"/>
      <c r="G865" s="56"/>
      <c r="H865" s="89"/>
      <c r="I865" s="89"/>
      <c r="J865" s="89"/>
      <c r="S865" s="13"/>
      <c r="T865" s="13"/>
      <c r="U865" s="13"/>
      <c r="V865" s="13"/>
      <c r="W865" s="13"/>
      <c r="X865" s="13"/>
      <c r="Y865" s="13"/>
      <c r="Z865" s="13"/>
      <c r="AA865" s="13"/>
      <c r="AB865" s="13"/>
    </row>
    <row r="866" hidden="1">
      <c r="C866" s="89"/>
      <c r="D866" s="89"/>
      <c r="G866" s="56"/>
      <c r="H866" s="89"/>
      <c r="I866" s="89"/>
      <c r="J866" s="89"/>
      <c r="S866" s="13"/>
      <c r="T866" s="13"/>
      <c r="U866" s="13"/>
      <c r="V866" s="13"/>
      <c r="W866" s="13"/>
      <c r="X866" s="13"/>
      <c r="Y866" s="13"/>
      <c r="Z866" s="13"/>
      <c r="AA866" s="13"/>
      <c r="AB866" s="13"/>
    </row>
    <row r="867" hidden="1">
      <c r="C867" s="89"/>
      <c r="D867" s="89"/>
      <c r="G867" s="56"/>
      <c r="H867" s="89"/>
      <c r="I867" s="89"/>
      <c r="J867" s="89"/>
      <c r="S867" s="13"/>
      <c r="T867" s="13"/>
      <c r="U867" s="13"/>
      <c r="V867" s="13"/>
      <c r="W867" s="13"/>
      <c r="X867" s="13"/>
      <c r="Y867" s="13"/>
      <c r="Z867" s="13"/>
      <c r="AA867" s="13"/>
      <c r="AB867" s="13"/>
    </row>
    <row r="868" hidden="1">
      <c r="C868" s="89"/>
      <c r="D868" s="89"/>
      <c r="G868" s="56"/>
      <c r="H868" s="89"/>
      <c r="I868" s="89"/>
      <c r="J868" s="89"/>
      <c r="S868" s="13"/>
      <c r="T868" s="13"/>
      <c r="U868" s="13"/>
      <c r="V868" s="13"/>
      <c r="W868" s="13"/>
      <c r="X868" s="13"/>
      <c r="Y868" s="13"/>
      <c r="Z868" s="13"/>
      <c r="AA868" s="13"/>
      <c r="AB868" s="13"/>
    </row>
    <row r="869" hidden="1">
      <c r="C869" s="89"/>
      <c r="D869" s="89"/>
      <c r="G869" s="56"/>
      <c r="H869" s="89"/>
      <c r="I869" s="89"/>
      <c r="J869" s="89"/>
      <c r="S869" s="13"/>
      <c r="T869" s="13"/>
      <c r="U869" s="13"/>
      <c r="V869" s="13"/>
      <c r="W869" s="13"/>
      <c r="X869" s="13"/>
      <c r="Y869" s="13"/>
      <c r="Z869" s="13"/>
      <c r="AA869" s="13"/>
      <c r="AB869" s="13"/>
    </row>
    <row r="870" hidden="1">
      <c r="C870" s="89"/>
      <c r="D870" s="89"/>
      <c r="G870" s="56"/>
      <c r="H870" s="89"/>
      <c r="I870" s="89"/>
      <c r="J870" s="89"/>
      <c r="S870" s="13"/>
      <c r="T870" s="13"/>
      <c r="U870" s="13"/>
      <c r="V870" s="13"/>
      <c r="W870" s="13"/>
      <c r="X870" s="13"/>
      <c r="Y870" s="13"/>
      <c r="Z870" s="13"/>
      <c r="AA870" s="13"/>
      <c r="AB870" s="13"/>
    </row>
    <row r="871" hidden="1">
      <c r="C871" s="89"/>
      <c r="D871" s="89"/>
      <c r="G871" s="56"/>
      <c r="H871" s="89"/>
      <c r="I871" s="89"/>
      <c r="J871" s="89"/>
      <c r="S871" s="13"/>
      <c r="T871" s="13"/>
      <c r="U871" s="13"/>
      <c r="V871" s="13"/>
      <c r="W871" s="13"/>
      <c r="X871" s="13"/>
      <c r="Y871" s="13"/>
      <c r="Z871" s="13"/>
      <c r="AA871" s="13"/>
      <c r="AB871" s="13"/>
    </row>
    <row r="872" hidden="1">
      <c r="C872" s="89"/>
      <c r="D872" s="89"/>
      <c r="G872" s="56"/>
      <c r="H872" s="89"/>
      <c r="I872" s="89"/>
      <c r="J872" s="89"/>
      <c r="S872" s="13"/>
      <c r="T872" s="13"/>
      <c r="U872" s="13"/>
      <c r="V872" s="13"/>
      <c r="W872" s="13"/>
      <c r="X872" s="13"/>
      <c r="Y872" s="13"/>
      <c r="Z872" s="13"/>
      <c r="AA872" s="13"/>
      <c r="AB872" s="13"/>
    </row>
    <row r="873" hidden="1">
      <c r="C873" s="89"/>
      <c r="D873" s="89"/>
      <c r="G873" s="56"/>
      <c r="H873" s="89"/>
      <c r="I873" s="89"/>
      <c r="J873" s="89"/>
      <c r="S873" s="13"/>
      <c r="T873" s="13"/>
      <c r="U873" s="13"/>
      <c r="V873" s="13"/>
      <c r="W873" s="13"/>
      <c r="X873" s="13"/>
      <c r="Y873" s="13"/>
      <c r="Z873" s="13"/>
      <c r="AA873" s="13"/>
      <c r="AB873" s="13"/>
    </row>
    <row r="874" hidden="1">
      <c r="C874" s="89"/>
      <c r="D874" s="89"/>
      <c r="G874" s="56"/>
      <c r="H874" s="89"/>
      <c r="I874" s="89"/>
      <c r="J874" s="89"/>
      <c r="S874" s="13"/>
      <c r="T874" s="13"/>
      <c r="U874" s="13"/>
      <c r="V874" s="13"/>
      <c r="W874" s="13"/>
      <c r="X874" s="13"/>
      <c r="Y874" s="13"/>
      <c r="Z874" s="13"/>
      <c r="AA874" s="13"/>
      <c r="AB874" s="13"/>
    </row>
    <row r="875" hidden="1">
      <c r="C875" s="89"/>
      <c r="D875" s="89"/>
      <c r="G875" s="56"/>
      <c r="H875" s="89"/>
      <c r="I875" s="89"/>
      <c r="J875" s="89"/>
      <c r="S875" s="13"/>
      <c r="T875" s="13"/>
      <c r="U875" s="13"/>
      <c r="V875" s="13"/>
      <c r="W875" s="13"/>
      <c r="X875" s="13"/>
      <c r="Y875" s="13"/>
      <c r="Z875" s="13"/>
      <c r="AA875" s="13"/>
      <c r="AB875" s="13"/>
    </row>
    <row r="876" hidden="1">
      <c r="C876" s="89"/>
      <c r="D876" s="89"/>
      <c r="G876" s="56"/>
      <c r="H876" s="89"/>
      <c r="I876" s="89"/>
      <c r="J876" s="89"/>
      <c r="S876" s="13"/>
      <c r="T876" s="13"/>
      <c r="U876" s="13"/>
      <c r="V876" s="13"/>
      <c r="W876" s="13"/>
      <c r="X876" s="13"/>
      <c r="Y876" s="13"/>
      <c r="Z876" s="13"/>
      <c r="AA876" s="13"/>
      <c r="AB876" s="13"/>
    </row>
    <row r="877" hidden="1">
      <c r="C877" s="89"/>
      <c r="D877" s="89"/>
      <c r="G877" s="56"/>
      <c r="H877" s="89"/>
      <c r="I877" s="89"/>
      <c r="J877" s="89"/>
      <c r="S877" s="13"/>
      <c r="T877" s="13"/>
      <c r="U877" s="13"/>
      <c r="V877" s="13"/>
      <c r="W877" s="13"/>
      <c r="X877" s="13"/>
      <c r="Y877" s="13"/>
      <c r="Z877" s="13"/>
      <c r="AA877" s="13"/>
      <c r="AB877" s="13"/>
    </row>
    <row r="878" hidden="1">
      <c r="C878" s="89"/>
      <c r="D878" s="89"/>
      <c r="G878" s="56"/>
      <c r="H878" s="89"/>
      <c r="I878" s="89"/>
      <c r="J878" s="89"/>
      <c r="S878" s="13"/>
      <c r="T878" s="13"/>
      <c r="U878" s="13"/>
      <c r="V878" s="13"/>
      <c r="W878" s="13"/>
      <c r="X878" s="13"/>
      <c r="Y878" s="13"/>
      <c r="Z878" s="13"/>
      <c r="AA878" s="13"/>
      <c r="AB878" s="13"/>
    </row>
    <row r="879" hidden="1">
      <c r="C879" s="89"/>
      <c r="D879" s="89"/>
      <c r="G879" s="56"/>
      <c r="H879" s="89"/>
      <c r="I879" s="89"/>
      <c r="J879" s="89"/>
      <c r="S879" s="13"/>
      <c r="T879" s="13"/>
      <c r="U879" s="13"/>
      <c r="V879" s="13"/>
      <c r="W879" s="13"/>
      <c r="X879" s="13"/>
      <c r="Y879" s="13"/>
      <c r="Z879" s="13"/>
      <c r="AA879" s="13"/>
      <c r="AB879" s="13"/>
    </row>
    <row r="880" hidden="1">
      <c r="C880" s="89"/>
      <c r="D880" s="89"/>
      <c r="G880" s="56"/>
      <c r="H880" s="89"/>
      <c r="I880" s="89"/>
      <c r="J880" s="89"/>
      <c r="S880" s="13"/>
      <c r="T880" s="13"/>
      <c r="U880" s="13"/>
      <c r="V880" s="13"/>
      <c r="W880" s="13"/>
      <c r="X880" s="13"/>
      <c r="Y880" s="13"/>
      <c r="Z880" s="13"/>
      <c r="AA880" s="13"/>
      <c r="AB880" s="13"/>
    </row>
    <row r="881" hidden="1">
      <c r="C881" s="89"/>
      <c r="D881" s="89"/>
      <c r="G881" s="56"/>
      <c r="H881" s="89"/>
      <c r="I881" s="89"/>
      <c r="J881" s="89"/>
      <c r="S881" s="13"/>
      <c r="T881" s="13"/>
      <c r="U881" s="13"/>
      <c r="V881" s="13"/>
      <c r="W881" s="13"/>
      <c r="X881" s="13"/>
      <c r="Y881" s="13"/>
      <c r="Z881" s="13"/>
      <c r="AA881" s="13"/>
      <c r="AB881" s="13"/>
    </row>
    <row r="882" hidden="1">
      <c r="C882" s="89"/>
      <c r="D882" s="89"/>
      <c r="G882" s="56"/>
      <c r="H882" s="89"/>
      <c r="I882" s="89"/>
      <c r="J882" s="89"/>
      <c r="S882" s="13"/>
      <c r="T882" s="13"/>
      <c r="U882" s="13"/>
      <c r="V882" s="13"/>
      <c r="W882" s="13"/>
      <c r="X882" s="13"/>
      <c r="Y882" s="13"/>
      <c r="Z882" s="13"/>
      <c r="AA882" s="13"/>
      <c r="AB882" s="13"/>
    </row>
    <row r="883" hidden="1">
      <c r="C883" s="89"/>
      <c r="D883" s="89"/>
      <c r="G883" s="56"/>
      <c r="H883" s="89"/>
      <c r="I883" s="89"/>
      <c r="J883" s="89"/>
      <c r="S883" s="13"/>
      <c r="T883" s="13"/>
      <c r="U883" s="13"/>
      <c r="V883" s="13"/>
      <c r="W883" s="13"/>
      <c r="X883" s="13"/>
      <c r="Y883" s="13"/>
      <c r="Z883" s="13"/>
      <c r="AA883" s="13"/>
      <c r="AB883" s="13"/>
    </row>
    <row r="884" hidden="1">
      <c r="C884" s="89"/>
      <c r="D884" s="89"/>
      <c r="G884" s="56"/>
      <c r="H884" s="89"/>
      <c r="I884" s="89"/>
      <c r="J884" s="89"/>
      <c r="S884" s="13"/>
      <c r="T884" s="13"/>
      <c r="U884" s="13"/>
      <c r="V884" s="13"/>
      <c r="W884" s="13"/>
      <c r="X884" s="13"/>
      <c r="Y884" s="13"/>
      <c r="Z884" s="13"/>
      <c r="AA884" s="13"/>
      <c r="AB884" s="13"/>
    </row>
    <row r="885" hidden="1">
      <c r="C885" s="89"/>
      <c r="D885" s="89"/>
      <c r="G885" s="56"/>
      <c r="H885" s="89"/>
      <c r="I885" s="89"/>
      <c r="J885" s="89"/>
      <c r="S885" s="13"/>
      <c r="T885" s="13"/>
      <c r="U885" s="13"/>
      <c r="V885" s="13"/>
      <c r="W885" s="13"/>
      <c r="X885" s="13"/>
      <c r="Y885" s="13"/>
      <c r="Z885" s="13"/>
      <c r="AA885" s="13"/>
      <c r="AB885" s="13"/>
    </row>
    <row r="886" hidden="1">
      <c r="C886" s="89"/>
      <c r="D886" s="89"/>
      <c r="G886" s="56"/>
      <c r="H886" s="89"/>
      <c r="I886" s="89"/>
      <c r="J886" s="89"/>
      <c r="S886" s="13"/>
      <c r="T886" s="13"/>
      <c r="U886" s="13"/>
      <c r="V886" s="13"/>
      <c r="W886" s="13"/>
      <c r="X886" s="13"/>
      <c r="Y886" s="13"/>
      <c r="Z886" s="13"/>
      <c r="AA886" s="13"/>
      <c r="AB886" s="13"/>
    </row>
    <row r="887" hidden="1">
      <c r="C887" s="89"/>
      <c r="D887" s="89"/>
      <c r="G887" s="56"/>
      <c r="H887" s="89"/>
      <c r="I887" s="89"/>
      <c r="J887" s="89"/>
      <c r="S887" s="13"/>
      <c r="T887" s="13"/>
      <c r="U887" s="13"/>
      <c r="V887" s="13"/>
      <c r="W887" s="13"/>
      <c r="X887" s="13"/>
      <c r="Y887" s="13"/>
      <c r="Z887" s="13"/>
      <c r="AA887" s="13"/>
      <c r="AB887" s="13"/>
    </row>
    <row r="888" hidden="1">
      <c r="C888" s="89"/>
      <c r="D888" s="89"/>
      <c r="G888" s="56"/>
      <c r="H888" s="89"/>
      <c r="I888" s="89"/>
      <c r="J888" s="89"/>
      <c r="S888" s="13"/>
      <c r="T888" s="13"/>
      <c r="U888" s="13"/>
      <c r="V888" s="13"/>
      <c r="W888" s="13"/>
      <c r="X888" s="13"/>
      <c r="Y888" s="13"/>
      <c r="Z888" s="13"/>
      <c r="AA888" s="13"/>
      <c r="AB888" s="13"/>
    </row>
    <row r="889" hidden="1">
      <c r="C889" s="89"/>
      <c r="D889" s="89"/>
      <c r="G889" s="56"/>
      <c r="H889" s="89"/>
      <c r="I889" s="89"/>
      <c r="J889" s="89"/>
      <c r="S889" s="13"/>
      <c r="T889" s="13"/>
      <c r="U889" s="13"/>
      <c r="V889" s="13"/>
      <c r="W889" s="13"/>
      <c r="X889" s="13"/>
      <c r="Y889" s="13"/>
      <c r="Z889" s="13"/>
      <c r="AA889" s="13"/>
      <c r="AB889" s="13"/>
    </row>
    <row r="890" hidden="1">
      <c r="C890" s="89"/>
      <c r="D890" s="89"/>
      <c r="G890" s="56"/>
      <c r="H890" s="89"/>
      <c r="I890" s="89"/>
      <c r="J890" s="89"/>
      <c r="S890" s="13"/>
      <c r="T890" s="13"/>
      <c r="U890" s="13"/>
      <c r="V890" s="13"/>
      <c r="W890" s="13"/>
      <c r="X890" s="13"/>
      <c r="Y890" s="13"/>
      <c r="Z890" s="13"/>
      <c r="AA890" s="13"/>
      <c r="AB890" s="13"/>
    </row>
    <row r="891" hidden="1">
      <c r="C891" s="89"/>
      <c r="D891" s="89"/>
      <c r="G891" s="56"/>
      <c r="H891" s="89"/>
      <c r="I891" s="89"/>
      <c r="J891" s="89"/>
      <c r="S891" s="13"/>
      <c r="T891" s="13"/>
      <c r="U891" s="13"/>
      <c r="V891" s="13"/>
      <c r="W891" s="13"/>
      <c r="X891" s="13"/>
      <c r="Y891" s="13"/>
      <c r="Z891" s="13"/>
      <c r="AA891" s="13"/>
      <c r="AB891" s="13"/>
    </row>
    <row r="892" hidden="1">
      <c r="C892" s="89"/>
      <c r="D892" s="89"/>
      <c r="G892" s="56"/>
      <c r="H892" s="89"/>
      <c r="I892" s="89"/>
      <c r="J892" s="89"/>
      <c r="S892" s="13"/>
      <c r="T892" s="13"/>
      <c r="U892" s="13"/>
      <c r="V892" s="13"/>
      <c r="W892" s="13"/>
      <c r="X892" s="13"/>
      <c r="Y892" s="13"/>
      <c r="Z892" s="13"/>
      <c r="AA892" s="13"/>
      <c r="AB892" s="13"/>
    </row>
    <row r="893" hidden="1">
      <c r="C893" s="89"/>
      <c r="D893" s="89"/>
      <c r="G893" s="56"/>
      <c r="H893" s="89"/>
      <c r="I893" s="89"/>
      <c r="J893" s="89"/>
      <c r="S893" s="13"/>
      <c r="T893" s="13"/>
      <c r="U893" s="13"/>
      <c r="V893" s="13"/>
      <c r="W893" s="13"/>
      <c r="X893" s="13"/>
      <c r="Y893" s="13"/>
      <c r="Z893" s="13"/>
      <c r="AA893" s="13"/>
      <c r="AB893" s="13"/>
    </row>
    <row r="894" hidden="1">
      <c r="C894" s="89"/>
      <c r="D894" s="89"/>
      <c r="G894" s="56"/>
      <c r="H894" s="89"/>
      <c r="I894" s="89"/>
      <c r="J894" s="89"/>
      <c r="S894" s="13"/>
      <c r="T894" s="13"/>
      <c r="U894" s="13"/>
      <c r="V894" s="13"/>
      <c r="W894" s="13"/>
      <c r="X894" s="13"/>
      <c r="Y894" s="13"/>
      <c r="Z894" s="13"/>
      <c r="AA894" s="13"/>
      <c r="AB894" s="13"/>
    </row>
    <row r="895" hidden="1">
      <c r="C895" s="89"/>
      <c r="D895" s="89"/>
      <c r="G895" s="56"/>
      <c r="H895" s="89"/>
      <c r="I895" s="89"/>
      <c r="J895" s="89"/>
      <c r="S895" s="13"/>
      <c r="T895" s="13"/>
      <c r="U895" s="13"/>
      <c r="V895" s="13"/>
      <c r="W895" s="13"/>
      <c r="X895" s="13"/>
      <c r="Y895" s="13"/>
      <c r="Z895" s="13"/>
      <c r="AA895" s="13"/>
      <c r="AB895" s="13"/>
    </row>
    <row r="896" hidden="1">
      <c r="C896" s="89"/>
      <c r="D896" s="89"/>
      <c r="G896" s="56"/>
      <c r="H896" s="89"/>
      <c r="I896" s="89"/>
      <c r="J896" s="89"/>
      <c r="S896" s="13"/>
      <c r="T896" s="13"/>
      <c r="U896" s="13"/>
      <c r="V896" s="13"/>
      <c r="W896" s="13"/>
      <c r="X896" s="13"/>
      <c r="Y896" s="13"/>
      <c r="Z896" s="13"/>
      <c r="AA896" s="13"/>
      <c r="AB896" s="13"/>
    </row>
    <row r="897" hidden="1">
      <c r="C897" s="89"/>
      <c r="D897" s="89"/>
      <c r="G897" s="56"/>
      <c r="H897" s="89"/>
      <c r="I897" s="89"/>
      <c r="J897" s="89"/>
      <c r="S897" s="13"/>
      <c r="T897" s="13"/>
      <c r="U897" s="13"/>
      <c r="V897" s="13"/>
      <c r="W897" s="13"/>
      <c r="X897" s="13"/>
      <c r="Y897" s="13"/>
      <c r="Z897" s="13"/>
      <c r="AA897" s="13"/>
      <c r="AB897" s="13"/>
    </row>
    <row r="898" hidden="1">
      <c r="C898" s="89"/>
      <c r="D898" s="89"/>
      <c r="G898" s="56"/>
      <c r="H898" s="89"/>
      <c r="I898" s="89"/>
      <c r="J898" s="89"/>
      <c r="S898" s="13"/>
      <c r="T898" s="13"/>
      <c r="U898" s="13"/>
      <c r="V898" s="13"/>
      <c r="W898" s="13"/>
      <c r="X898" s="13"/>
      <c r="Y898" s="13"/>
      <c r="Z898" s="13"/>
      <c r="AA898" s="13"/>
      <c r="AB898" s="13"/>
    </row>
    <row r="899" hidden="1">
      <c r="C899" s="89"/>
      <c r="D899" s="89"/>
      <c r="G899" s="56"/>
      <c r="H899" s="89"/>
      <c r="I899" s="89"/>
      <c r="J899" s="89"/>
      <c r="S899" s="13"/>
      <c r="T899" s="13"/>
      <c r="U899" s="13"/>
      <c r="V899" s="13"/>
      <c r="W899" s="13"/>
      <c r="X899" s="13"/>
      <c r="Y899" s="13"/>
      <c r="Z899" s="13"/>
      <c r="AA899" s="13"/>
      <c r="AB899" s="13"/>
    </row>
    <row r="900" hidden="1">
      <c r="C900" s="89"/>
      <c r="D900" s="89"/>
      <c r="G900" s="56"/>
      <c r="H900" s="89"/>
      <c r="I900" s="89"/>
      <c r="J900" s="89"/>
      <c r="S900" s="13"/>
      <c r="T900" s="13"/>
      <c r="U900" s="13"/>
      <c r="V900" s="13"/>
      <c r="W900" s="13"/>
      <c r="X900" s="13"/>
      <c r="Y900" s="13"/>
      <c r="Z900" s="13"/>
      <c r="AA900" s="13"/>
      <c r="AB900" s="13"/>
    </row>
    <row r="901" hidden="1">
      <c r="C901" s="89"/>
      <c r="D901" s="89"/>
      <c r="G901" s="56"/>
      <c r="H901" s="89"/>
      <c r="I901" s="89"/>
      <c r="J901" s="89"/>
      <c r="S901" s="13"/>
      <c r="T901" s="13"/>
      <c r="U901" s="13"/>
      <c r="V901" s="13"/>
      <c r="W901" s="13"/>
      <c r="X901" s="13"/>
      <c r="Y901" s="13"/>
      <c r="Z901" s="13"/>
      <c r="AA901" s="13"/>
      <c r="AB901" s="13"/>
    </row>
    <row r="902" hidden="1">
      <c r="C902" s="89"/>
      <c r="D902" s="89"/>
      <c r="G902" s="56"/>
      <c r="H902" s="89"/>
      <c r="I902" s="89"/>
      <c r="J902" s="89"/>
      <c r="S902" s="13"/>
      <c r="T902" s="13"/>
      <c r="U902" s="13"/>
      <c r="V902" s="13"/>
      <c r="W902" s="13"/>
      <c r="X902" s="13"/>
      <c r="Y902" s="13"/>
      <c r="Z902" s="13"/>
      <c r="AA902" s="13"/>
      <c r="AB902" s="13"/>
    </row>
    <row r="903" hidden="1">
      <c r="C903" s="89"/>
      <c r="D903" s="89"/>
      <c r="G903" s="56"/>
      <c r="H903" s="89"/>
      <c r="I903" s="89"/>
      <c r="J903" s="89"/>
      <c r="S903" s="13"/>
      <c r="T903" s="13"/>
      <c r="U903" s="13"/>
      <c r="V903" s="13"/>
      <c r="W903" s="13"/>
      <c r="X903" s="13"/>
      <c r="Y903" s="13"/>
      <c r="Z903" s="13"/>
      <c r="AA903" s="13"/>
      <c r="AB903" s="13"/>
    </row>
    <row r="904" hidden="1">
      <c r="C904" s="89"/>
      <c r="D904" s="89"/>
      <c r="G904" s="56"/>
      <c r="H904" s="89"/>
      <c r="I904" s="89"/>
      <c r="J904" s="89"/>
      <c r="S904" s="13"/>
      <c r="T904" s="13"/>
      <c r="U904" s="13"/>
      <c r="V904" s="13"/>
      <c r="W904" s="13"/>
      <c r="X904" s="13"/>
      <c r="Y904" s="13"/>
      <c r="Z904" s="13"/>
      <c r="AA904" s="13"/>
      <c r="AB904" s="13"/>
    </row>
    <row r="905" hidden="1">
      <c r="C905" s="89"/>
      <c r="D905" s="89"/>
      <c r="G905" s="56"/>
      <c r="H905" s="89"/>
      <c r="I905" s="89"/>
      <c r="J905" s="89"/>
      <c r="S905" s="13"/>
      <c r="T905" s="13"/>
      <c r="U905" s="13"/>
      <c r="V905" s="13"/>
      <c r="W905" s="13"/>
      <c r="X905" s="13"/>
      <c r="Y905" s="13"/>
      <c r="Z905" s="13"/>
      <c r="AA905" s="13"/>
      <c r="AB905" s="13"/>
    </row>
    <row r="906" hidden="1">
      <c r="C906" s="89"/>
      <c r="D906" s="89"/>
      <c r="G906" s="56"/>
      <c r="H906" s="89"/>
      <c r="I906" s="89"/>
      <c r="J906" s="89"/>
      <c r="S906" s="13"/>
      <c r="T906" s="13"/>
      <c r="U906" s="13"/>
      <c r="V906" s="13"/>
      <c r="W906" s="13"/>
      <c r="X906" s="13"/>
      <c r="Y906" s="13"/>
      <c r="Z906" s="13"/>
      <c r="AA906" s="13"/>
      <c r="AB906" s="13"/>
    </row>
    <row r="907" hidden="1">
      <c r="C907" s="89"/>
      <c r="D907" s="89"/>
      <c r="G907" s="56"/>
      <c r="H907" s="89"/>
      <c r="I907" s="89"/>
      <c r="J907" s="89"/>
      <c r="S907" s="13"/>
      <c r="T907" s="13"/>
      <c r="U907" s="13"/>
      <c r="V907" s="13"/>
      <c r="W907" s="13"/>
      <c r="X907" s="13"/>
      <c r="Y907" s="13"/>
      <c r="Z907" s="13"/>
      <c r="AA907" s="13"/>
      <c r="AB907" s="13"/>
    </row>
    <row r="908" hidden="1">
      <c r="C908" s="89"/>
      <c r="D908" s="89"/>
      <c r="G908" s="56"/>
      <c r="H908" s="89"/>
      <c r="I908" s="89"/>
      <c r="J908" s="89"/>
      <c r="S908" s="13"/>
      <c r="T908" s="13"/>
      <c r="U908" s="13"/>
      <c r="V908" s="13"/>
      <c r="W908" s="13"/>
      <c r="X908" s="13"/>
      <c r="Y908" s="13"/>
      <c r="Z908" s="13"/>
      <c r="AA908" s="13"/>
      <c r="AB908" s="13"/>
    </row>
    <row r="909" hidden="1">
      <c r="C909" s="89"/>
      <c r="D909" s="89"/>
      <c r="G909" s="56"/>
      <c r="H909" s="89"/>
      <c r="I909" s="89"/>
      <c r="J909" s="89"/>
      <c r="S909" s="13"/>
      <c r="T909" s="13"/>
      <c r="U909" s="13"/>
      <c r="V909" s="13"/>
      <c r="W909" s="13"/>
      <c r="X909" s="13"/>
      <c r="Y909" s="13"/>
      <c r="Z909" s="13"/>
      <c r="AA909" s="13"/>
      <c r="AB909" s="13"/>
    </row>
    <row r="910" hidden="1">
      <c r="C910" s="89"/>
      <c r="D910" s="89"/>
      <c r="G910" s="56"/>
      <c r="H910" s="89"/>
      <c r="I910" s="89"/>
      <c r="J910" s="89"/>
      <c r="S910" s="13"/>
      <c r="T910" s="13"/>
      <c r="U910" s="13"/>
      <c r="V910" s="13"/>
      <c r="W910" s="13"/>
      <c r="X910" s="13"/>
      <c r="Y910" s="13"/>
      <c r="Z910" s="13"/>
      <c r="AA910" s="13"/>
      <c r="AB910" s="13"/>
    </row>
    <row r="911" hidden="1">
      <c r="C911" s="89"/>
      <c r="D911" s="89"/>
      <c r="G911" s="56"/>
      <c r="H911" s="89"/>
      <c r="I911" s="89"/>
      <c r="J911" s="89"/>
      <c r="S911" s="13"/>
      <c r="T911" s="13"/>
      <c r="U911" s="13"/>
      <c r="V911" s="13"/>
      <c r="W911" s="13"/>
      <c r="X911" s="13"/>
      <c r="Y911" s="13"/>
      <c r="Z911" s="13"/>
      <c r="AA911" s="13"/>
      <c r="AB911" s="13"/>
    </row>
    <row r="912" hidden="1">
      <c r="C912" s="89"/>
      <c r="D912" s="89"/>
      <c r="G912" s="56"/>
      <c r="H912" s="89"/>
      <c r="I912" s="89"/>
      <c r="J912" s="89"/>
      <c r="S912" s="13"/>
      <c r="T912" s="13"/>
      <c r="U912" s="13"/>
      <c r="V912" s="13"/>
      <c r="W912" s="13"/>
      <c r="X912" s="13"/>
      <c r="Y912" s="13"/>
      <c r="Z912" s="13"/>
      <c r="AA912" s="13"/>
      <c r="AB912" s="13"/>
    </row>
    <row r="913" hidden="1">
      <c r="C913" s="89"/>
      <c r="D913" s="89"/>
      <c r="G913" s="56"/>
      <c r="H913" s="89"/>
      <c r="I913" s="89"/>
      <c r="J913" s="89"/>
      <c r="S913" s="13"/>
      <c r="T913" s="13"/>
      <c r="U913" s="13"/>
      <c r="V913" s="13"/>
      <c r="W913" s="13"/>
      <c r="X913" s="13"/>
      <c r="Y913" s="13"/>
      <c r="Z913" s="13"/>
      <c r="AA913" s="13"/>
      <c r="AB913" s="13"/>
    </row>
    <row r="914" hidden="1">
      <c r="C914" s="89"/>
      <c r="D914" s="89"/>
      <c r="G914" s="56"/>
      <c r="H914" s="89"/>
      <c r="I914" s="89"/>
      <c r="J914" s="89"/>
      <c r="S914" s="13"/>
      <c r="T914" s="13"/>
      <c r="U914" s="13"/>
      <c r="V914" s="13"/>
      <c r="W914" s="13"/>
      <c r="X914" s="13"/>
      <c r="Y914" s="13"/>
      <c r="Z914" s="13"/>
      <c r="AA914" s="13"/>
      <c r="AB914" s="13"/>
    </row>
    <row r="915" hidden="1">
      <c r="C915" s="89"/>
      <c r="D915" s="89"/>
      <c r="G915" s="56"/>
      <c r="H915" s="89"/>
      <c r="I915" s="89"/>
      <c r="J915" s="89"/>
      <c r="S915" s="13"/>
      <c r="T915" s="13"/>
      <c r="U915" s="13"/>
      <c r="V915" s="13"/>
      <c r="W915" s="13"/>
      <c r="X915" s="13"/>
      <c r="Y915" s="13"/>
      <c r="Z915" s="13"/>
      <c r="AA915" s="13"/>
      <c r="AB915" s="13"/>
    </row>
    <row r="916" hidden="1">
      <c r="C916" s="89"/>
      <c r="D916" s="89"/>
      <c r="G916" s="56"/>
      <c r="H916" s="89"/>
      <c r="I916" s="89"/>
      <c r="J916" s="89"/>
      <c r="S916" s="13"/>
      <c r="T916" s="13"/>
      <c r="U916" s="13"/>
      <c r="V916" s="13"/>
      <c r="W916" s="13"/>
      <c r="X916" s="13"/>
      <c r="Y916" s="13"/>
      <c r="Z916" s="13"/>
      <c r="AA916" s="13"/>
      <c r="AB916" s="13"/>
    </row>
    <row r="917" hidden="1">
      <c r="C917" s="89"/>
      <c r="D917" s="89"/>
      <c r="G917" s="56"/>
      <c r="H917" s="89"/>
      <c r="I917" s="89"/>
      <c r="J917" s="89"/>
      <c r="S917" s="13"/>
      <c r="T917" s="13"/>
      <c r="U917" s="13"/>
      <c r="V917" s="13"/>
      <c r="W917" s="13"/>
      <c r="X917" s="13"/>
      <c r="Y917" s="13"/>
      <c r="Z917" s="13"/>
      <c r="AA917" s="13"/>
      <c r="AB917" s="13"/>
    </row>
    <row r="918" hidden="1">
      <c r="C918" s="89"/>
      <c r="D918" s="89"/>
      <c r="G918" s="56"/>
      <c r="H918" s="89"/>
      <c r="I918" s="89"/>
      <c r="J918" s="89"/>
      <c r="S918" s="13"/>
      <c r="T918" s="13"/>
      <c r="U918" s="13"/>
      <c r="V918" s="13"/>
      <c r="W918" s="13"/>
      <c r="X918" s="13"/>
      <c r="Y918" s="13"/>
      <c r="Z918" s="13"/>
      <c r="AA918" s="13"/>
      <c r="AB918" s="13"/>
    </row>
    <row r="919" hidden="1">
      <c r="C919" s="89"/>
      <c r="D919" s="89"/>
      <c r="G919" s="56"/>
      <c r="H919" s="89"/>
      <c r="I919" s="89"/>
      <c r="J919" s="89"/>
      <c r="S919" s="13"/>
      <c r="T919" s="13"/>
      <c r="U919" s="13"/>
      <c r="V919" s="13"/>
      <c r="W919" s="13"/>
      <c r="X919" s="13"/>
      <c r="Y919" s="13"/>
      <c r="Z919" s="13"/>
      <c r="AA919" s="13"/>
      <c r="AB919" s="13"/>
    </row>
    <row r="920" hidden="1">
      <c r="C920" s="89"/>
      <c r="D920" s="89"/>
      <c r="G920" s="56"/>
      <c r="H920" s="89"/>
      <c r="I920" s="89"/>
      <c r="J920" s="89"/>
      <c r="S920" s="13"/>
      <c r="T920" s="13"/>
      <c r="U920" s="13"/>
      <c r="V920" s="13"/>
      <c r="W920" s="13"/>
      <c r="X920" s="13"/>
      <c r="Y920" s="13"/>
      <c r="Z920" s="13"/>
      <c r="AA920" s="13"/>
      <c r="AB920" s="13"/>
    </row>
    <row r="921" hidden="1">
      <c r="C921" s="89"/>
      <c r="D921" s="89"/>
      <c r="G921" s="56"/>
      <c r="H921" s="89"/>
      <c r="I921" s="89"/>
      <c r="J921" s="89"/>
      <c r="S921" s="13"/>
      <c r="T921" s="13"/>
      <c r="U921" s="13"/>
      <c r="V921" s="13"/>
      <c r="W921" s="13"/>
      <c r="X921" s="13"/>
      <c r="Y921" s="13"/>
      <c r="Z921" s="13"/>
      <c r="AA921" s="13"/>
      <c r="AB921" s="13"/>
    </row>
    <row r="922" hidden="1">
      <c r="C922" s="89"/>
      <c r="D922" s="89"/>
      <c r="G922" s="56"/>
      <c r="H922" s="89"/>
      <c r="I922" s="89"/>
      <c r="J922" s="89"/>
      <c r="S922" s="13"/>
      <c r="T922" s="13"/>
      <c r="U922" s="13"/>
      <c r="V922" s="13"/>
      <c r="W922" s="13"/>
      <c r="X922" s="13"/>
      <c r="Y922" s="13"/>
      <c r="Z922" s="13"/>
      <c r="AA922" s="13"/>
      <c r="AB922" s="13"/>
    </row>
    <row r="923" hidden="1">
      <c r="C923" s="89"/>
      <c r="D923" s="89"/>
      <c r="G923" s="56"/>
      <c r="H923" s="89"/>
      <c r="I923" s="89"/>
      <c r="J923" s="89"/>
      <c r="S923" s="13"/>
      <c r="T923" s="13"/>
      <c r="U923" s="13"/>
      <c r="V923" s="13"/>
      <c r="W923" s="13"/>
      <c r="X923" s="13"/>
      <c r="Y923" s="13"/>
      <c r="Z923" s="13"/>
      <c r="AA923" s="13"/>
      <c r="AB923" s="13"/>
    </row>
    <row r="924" hidden="1">
      <c r="C924" s="89"/>
      <c r="D924" s="89"/>
      <c r="G924" s="56"/>
      <c r="H924" s="89"/>
      <c r="I924" s="89"/>
      <c r="J924" s="89"/>
      <c r="S924" s="13"/>
      <c r="T924" s="13"/>
      <c r="U924" s="13"/>
      <c r="V924" s="13"/>
      <c r="W924" s="13"/>
      <c r="X924" s="13"/>
      <c r="Y924" s="13"/>
      <c r="Z924" s="13"/>
      <c r="AA924" s="13"/>
      <c r="AB924" s="13"/>
    </row>
    <row r="925" hidden="1">
      <c r="C925" s="89"/>
      <c r="D925" s="89"/>
      <c r="G925" s="56"/>
      <c r="H925" s="89"/>
      <c r="I925" s="89"/>
      <c r="J925" s="89"/>
      <c r="S925" s="13"/>
      <c r="T925" s="13"/>
      <c r="U925" s="13"/>
      <c r="V925" s="13"/>
      <c r="W925" s="13"/>
      <c r="X925" s="13"/>
      <c r="Y925" s="13"/>
      <c r="Z925" s="13"/>
      <c r="AA925" s="13"/>
      <c r="AB925" s="13"/>
    </row>
    <row r="926" hidden="1">
      <c r="C926" s="89"/>
      <c r="D926" s="89"/>
      <c r="G926" s="56"/>
      <c r="H926" s="89"/>
      <c r="I926" s="89"/>
      <c r="J926" s="89"/>
      <c r="S926" s="13"/>
      <c r="T926" s="13"/>
      <c r="U926" s="13"/>
      <c r="V926" s="13"/>
      <c r="W926" s="13"/>
      <c r="X926" s="13"/>
      <c r="Y926" s="13"/>
      <c r="Z926" s="13"/>
      <c r="AA926" s="13"/>
      <c r="AB926" s="13"/>
    </row>
    <row r="927" hidden="1">
      <c r="C927" s="89"/>
      <c r="D927" s="89"/>
      <c r="G927" s="56"/>
      <c r="H927" s="89"/>
      <c r="I927" s="89"/>
      <c r="J927" s="89"/>
      <c r="S927" s="13"/>
      <c r="T927" s="13"/>
      <c r="U927" s="13"/>
      <c r="V927" s="13"/>
      <c r="W927" s="13"/>
      <c r="X927" s="13"/>
      <c r="Y927" s="13"/>
      <c r="Z927" s="13"/>
      <c r="AA927" s="13"/>
      <c r="AB927" s="13"/>
    </row>
    <row r="928" hidden="1">
      <c r="C928" s="89"/>
      <c r="D928" s="89"/>
      <c r="G928" s="56"/>
      <c r="H928" s="89"/>
      <c r="I928" s="89"/>
      <c r="J928" s="89"/>
      <c r="S928" s="13"/>
      <c r="T928" s="13"/>
      <c r="U928" s="13"/>
      <c r="V928" s="13"/>
      <c r="W928" s="13"/>
      <c r="X928" s="13"/>
      <c r="Y928" s="13"/>
      <c r="Z928" s="13"/>
      <c r="AA928" s="13"/>
      <c r="AB928" s="13"/>
    </row>
    <row r="929" hidden="1">
      <c r="C929" s="89"/>
      <c r="D929" s="89"/>
      <c r="G929" s="56"/>
      <c r="H929" s="89"/>
      <c r="I929" s="89"/>
      <c r="J929" s="89"/>
      <c r="S929" s="13"/>
      <c r="T929" s="13"/>
      <c r="U929" s="13"/>
      <c r="V929" s="13"/>
      <c r="W929" s="13"/>
      <c r="X929" s="13"/>
      <c r="Y929" s="13"/>
      <c r="Z929" s="13"/>
      <c r="AA929" s="13"/>
      <c r="AB929" s="13"/>
    </row>
    <row r="930" hidden="1">
      <c r="C930" s="89"/>
      <c r="D930" s="89"/>
      <c r="G930" s="56"/>
      <c r="H930" s="89"/>
      <c r="I930" s="89"/>
      <c r="J930" s="89"/>
      <c r="S930" s="13"/>
      <c r="T930" s="13"/>
      <c r="U930" s="13"/>
      <c r="V930" s="13"/>
      <c r="W930" s="13"/>
      <c r="X930" s="13"/>
      <c r="Y930" s="13"/>
      <c r="Z930" s="13"/>
      <c r="AA930" s="13"/>
      <c r="AB930" s="13"/>
    </row>
    <row r="931" hidden="1">
      <c r="C931" s="89"/>
      <c r="D931" s="89"/>
      <c r="G931" s="56"/>
      <c r="H931" s="89"/>
      <c r="I931" s="89"/>
      <c r="J931" s="89"/>
      <c r="S931" s="13"/>
      <c r="T931" s="13"/>
      <c r="U931" s="13"/>
      <c r="V931" s="13"/>
      <c r="W931" s="13"/>
      <c r="X931" s="13"/>
      <c r="Y931" s="13"/>
      <c r="Z931" s="13"/>
      <c r="AA931" s="13"/>
      <c r="AB931" s="13"/>
    </row>
    <row r="932" hidden="1">
      <c r="C932" s="89"/>
      <c r="D932" s="89"/>
      <c r="G932" s="56"/>
      <c r="H932" s="89"/>
      <c r="I932" s="89"/>
      <c r="J932" s="89"/>
      <c r="S932" s="13"/>
      <c r="T932" s="13"/>
      <c r="U932" s="13"/>
      <c r="V932" s="13"/>
      <c r="W932" s="13"/>
      <c r="X932" s="13"/>
      <c r="Y932" s="13"/>
      <c r="Z932" s="13"/>
      <c r="AA932" s="13"/>
      <c r="AB932" s="13"/>
    </row>
    <row r="933" hidden="1">
      <c r="C933" s="89"/>
      <c r="D933" s="89"/>
      <c r="G933" s="56"/>
      <c r="H933" s="89"/>
      <c r="I933" s="89"/>
      <c r="J933" s="89"/>
      <c r="S933" s="13"/>
      <c r="T933" s="13"/>
      <c r="U933" s="13"/>
      <c r="V933" s="13"/>
      <c r="W933" s="13"/>
      <c r="X933" s="13"/>
      <c r="Y933" s="13"/>
      <c r="Z933" s="13"/>
      <c r="AA933" s="13"/>
      <c r="AB933" s="13"/>
    </row>
    <row r="934" hidden="1">
      <c r="C934" s="89"/>
      <c r="D934" s="89"/>
      <c r="G934" s="56"/>
      <c r="H934" s="89"/>
      <c r="I934" s="89"/>
      <c r="J934" s="89"/>
      <c r="S934" s="13"/>
      <c r="T934" s="13"/>
      <c r="U934" s="13"/>
      <c r="V934" s="13"/>
      <c r="W934" s="13"/>
      <c r="X934" s="13"/>
      <c r="Y934" s="13"/>
      <c r="Z934" s="13"/>
      <c r="AA934" s="13"/>
      <c r="AB934" s="13"/>
    </row>
    <row r="935" hidden="1">
      <c r="C935" s="89"/>
      <c r="D935" s="89"/>
      <c r="G935" s="56"/>
      <c r="H935" s="89"/>
      <c r="I935" s="89"/>
      <c r="J935" s="89"/>
      <c r="S935" s="13"/>
      <c r="T935" s="13"/>
      <c r="U935" s="13"/>
      <c r="V935" s="13"/>
      <c r="W935" s="13"/>
      <c r="X935" s="13"/>
      <c r="Y935" s="13"/>
      <c r="Z935" s="13"/>
      <c r="AA935" s="13"/>
      <c r="AB935" s="13"/>
    </row>
    <row r="936" hidden="1">
      <c r="C936" s="89"/>
      <c r="D936" s="89"/>
      <c r="G936" s="56"/>
      <c r="H936" s="89"/>
      <c r="I936" s="89"/>
      <c r="J936" s="89"/>
      <c r="S936" s="13"/>
      <c r="T936" s="13"/>
      <c r="U936" s="13"/>
      <c r="V936" s="13"/>
      <c r="W936" s="13"/>
      <c r="X936" s="13"/>
      <c r="Y936" s="13"/>
      <c r="Z936" s="13"/>
      <c r="AA936" s="13"/>
      <c r="AB936" s="13"/>
    </row>
    <row r="937" hidden="1">
      <c r="C937" s="89"/>
      <c r="D937" s="89"/>
      <c r="G937" s="56"/>
      <c r="H937" s="89"/>
      <c r="I937" s="89"/>
      <c r="J937" s="89"/>
      <c r="S937" s="13"/>
      <c r="T937" s="13"/>
      <c r="U937" s="13"/>
      <c r="V937" s="13"/>
      <c r="W937" s="13"/>
      <c r="X937" s="13"/>
      <c r="Y937" s="13"/>
      <c r="Z937" s="13"/>
      <c r="AA937" s="13"/>
      <c r="AB937" s="13"/>
    </row>
    <row r="938" hidden="1">
      <c r="C938" s="89"/>
      <c r="D938" s="89"/>
      <c r="G938" s="56"/>
      <c r="H938" s="89"/>
      <c r="I938" s="89"/>
      <c r="J938" s="89"/>
      <c r="S938" s="13"/>
      <c r="T938" s="13"/>
      <c r="U938" s="13"/>
      <c r="V938" s="13"/>
      <c r="W938" s="13"/>
      <c r="X938" s="13"/>
      <c r="Y938" s="13"/>
      <c r="Z938" s="13"/>
      <c r="AA938" s="13"/>
      <c r="AB938" s="13"/>
    </row>
    <row r="939" hidden="1">
      <c r="C939" s="89"/>
      <c r="D939" s="89"/>
      <c r="G939" s="56"/>
      <c r="H939" s="89"/>
      <c r="I939" s="89"/>
      <c r="J939" s="89"/>
      <c r="S939" s="13"/>
      <c r="T939" s="13"/>
      <c r="U939" s="13"/>
      <c r="V939" s="13"/>
      <c r="W939" s="13"/>
      <c r="X939" s="13"/>
      <c r="Y939" s="13"/>
      <c r="Z939" s="13"/>
      <c r="AA939" s="13"/>
      <c r="AB939" s="13"/>
    </row>
    <row r="940" hidden="1">
      <c r="C940" s="89"/>
      <c r="D940" s="89"/>
      <c r="G940" s="56"/>
      <c r="H940" s="89"/>
      <c r="I940" s="89"/>
      <c r="J940" s="89"/>
      <c r="S940" s="13"/>
      <c r="T940" s="13"/>
      <c r="U940" s="13"/>
      <c r="V940" s="13"/>
      <c r="W940" s="13"/>
      <c r="X940" s="13"/>
      <c r="Y940" s="13"/>
      <c r="Z940" s="13"/>
      <c r="AA940" s="13"/>
      <c r="AB940" s="13"/>
    </row>
    <row r="941" hidden="1">
      <c r="C941" s="89"/>
      <c r="D941" s="89"/>
      <c r="G941" s="56"/>
      <c r="H941" s="89"/>
      <c r="I941" s="89"/>
      <c r="J941" s="89"/>
      <c r="S941" s="13"/>
      <c r="T941" s="13"/>
      <c r="U941" s="13"/>
      <c r="V941" s="13"/>
      <c r="W941" s="13"/>
      <c r="X941" s="13"/>
      <c r="Y941" s="13"/>
      <c r="Z941" s="13"/>
      <c r="AA941" s="13"/>
      <c r="AB941" s="13"/>
    </row>
    <row r="942" hidden="1">
      <c r="C942" s="89"/>
      <c r="D942" s="89"/>
      <c r="G942" s="56"/>
      <c r="H942" s="89"/>
      <c r="I942" s="89"/>
      <c r="J942" s="89"/>
      <c r="S942" s="13"/>
      <c r="T942" s="13"/>
      <c r="U942" s="13"/>
      <c r="V942" s="13"/>
      <c r="W942" s="13"/>
      <c r="X942" s="13"/>
      <c r="Y942" s="13"/>
      <c r="Z942" s="13"/>
      <c r="AA942" s="13"/>
      <c r="AB942" s="13"/>
    </row>
    <row r="943" hidden="1">
      <c r="C943" s="89"/>
      <c r="D943" s="89"/>
      <c r="G943" s="56"/>
      <c r="H943" s="89"/>
      <c r="I943" s="89"/>
      <c r="J943" s="89"/>
      <c r="S943" s="13"/>
      <c r="T943" s="13"/>
      <c r="U943" s="13"/>
      <c r="V943" s="13"/>
      <c r="W943" s="13"/>
      <c r="X943" s="13"/>
      <c r="Y943" s="13"/>
      <c r="Z943" s="13"/>
      <c r="AA943" s="13"/>
      <c r="AB943" s="13"/>
    </row>
    <row r="944" hidden="1">
      <c r="C944" s="89"/>
      <c r="D944" s="89"/>
      <c r="G944" s="56"/>
      <c r="H944" s="89"/>
      <c r="I944" s="89"/>
      <c r="J944" s="89"/>
      <c r="S944" s="13"/>
      <c r="T944" s="13"/>
      <c r="U944" s="13"/>
      <c r="V944" s="13"/>
      <c r="W944" s="13"/>
      <c r="X944" s="13"/>
      <c r="Y944" s="13"/>
      <c r="Z944" s="13"/>
      <c r="AA944" s="13"/>
      <c r="AB944" s="13"/>
    </row>
    <row r="945" hidden="1">
      <c r="C945" s="89"/>
      <c r="D945" s="89"/>
      <c r="G945" s="56"/>
      <c r="H945" s="89"/>
      <c r="I945" s="89"/>
      <c r="J945" s="89"/>
      <c r="S945" s="13"/>
      <c r="T945" s="13"/>
      <c r="U945" s="13"/>
      <c r="V945" s="13"/>
      <c r="W945" s="13"/>
      <c r="X945" s="13"/>
      <c r="Y945" s="13"/>
      <c r="Z945" s="13"/>
      <c r="AA945" s="13"/>
      <c r="AB945" s="13"/>
    </row>
    <row r="946" hidden="1">
      <c r="C946" s="89"/>
      <c r="D946" s="89"/>
      <c r="G946" s="56"/>
      <c r="H946" s="89"/>
      <c r="I946" s="89"/>
      <c r="J946" s="89"/>
      <c r="S946" s="13"/>
      <c r="T946" s="13"/>
      <c r="U946" s="13"/>
      <c r="V946" s="13"/>
      <c r="W946" s="13"/>
      <c r="X946" s="13"/>
      <c r="Y946" s="13"/>
      <c r="Z946" s="13"/>
      <c r="AA946" s="13"/>
      <c r="AB946" s="13"/>
    </row>
    <row r="947" hidden="1">
      <c r="C947" s="89"/>
      <c r="D947" s="89"/>
      <c r="G947" s="56"/>
      <c r="H947" s="89"/>
      <c r="I947" s="89"/>
      <c r="J947" s="89"/>
      <c r="S947" s="13"/>
      <c r="T947" s="13"/>
      <c r="U947" s="13"/>
      <c r="V947" s="13"/>
      <c r="W947" s="13"/>
      <c r="X947" s="13"/>
      <c r="Y947" s="13"/>
      <c r="Z947" s="13"/>
      <c r="AA947" s="13"/>
      <c r="AB947" s="13"/>
    </row>
    <row r="948" hidden="1">
      <c r="C948" s="89"/>
      <c r="D948" s="89"/>
      <c r="G948" s="56"/>
      <c r="H948" s="89"/>
      <c r="I948" s="89"/>
      <c r="J948" s="89"/>
      <c r="S948" s="13"/>
      <c r="T948" s="13"/>
      <c r="U948" s="13"/>
      <c r="V948" s="13"/>
      <c r="W948" s="13"/>
      <c r="X948" s="13"/>
      <c r="Y948" s="13"/>
      <c r="Z948" s="13"/>
      <c r="AA948" s="13"/>
      <c r="AB948" s="13"/>
    </row>
    <row r="949" hidden="1">
      <c r="C949" s="89"/>
      <c r="D949" s="89"/>
      <c r="G949" s="56"/>
      <c r="H949" s="89"/>
      <c r="I949" s="89"/>
      <c r="J949" s="89"/>
      <c r="S949" s="13"/>
      <c r="T949" s="13"/>
      <c r="U949" s="13"/>
      <c r="V949" s="13"/>
      <c r="W949" s="13"/>
      <c r="X949" s="13"/>
      <c r="Y949" s="13"/>
      <c r="Z949" s="13"/>
      <c r="AA949" s="13"/>
      <c r="AB949" s="13"/>
    </row>
    <row r="950" hidden="1">
      <c r="C950" s="89"/>
      <c r="D950" s="89"/>
      <c r="G950" s="56"/>
      <c r="H950" s="89"/>
      <c r="I950" s="89"/>
      <c r="J950" s="89"/>
      <c r="S950" s="13"/>
      <c r="T950" s="13"/>
      <c r="U950" s="13"/>
      <c r="V950" s="13"/>
      <c r="W950" s="13"/>
      <c r="X950" s="13"/>
      <c r="Y950" s="13"/>
      <c r="Z950" s="13"/>
      <c r="AA950" s="13"/>
      <c r="AB950" s="13"/>
    </row>
    <row r="951" hidden="1">
      <c r="C951" s="89"/>
      <c r="D951" s="89"/>
      <c r="G951" s="56"/>
      <c r="H951" s="89"/>
      <c r="I951" s="89"/>
      <c r="J951" s="89"/>
      <c r="S951" s="13"/>
      <c r="T951" s="13"/>
      <c r="U951" s="13"/>
      <c r="V951" s="13"/>
      <c r="W951" s="13"/>
      <c r="X951" s="13"/>
      <c r="Y951" s="13"/>
      <c r="Z951" s="13"/>
      <c r="AA951" s="13"/>
      <c r="AB951" s="13"/>
    </row>
    <row r="952" hidden="1">
      <c r="C952" s="89"/>
      <c r="D952" s="89"/>
      <c r="G952" s="56"/>
      <c r="H952" s="89"/>
      <c r="I952" s="89"/>
      <c r="J952" s="89"/>
      <c r="S952" s="13"/>
      <c r="T952" s="13"/>
      <c r="U952" s="13"/>
      <c r="V952" s="13"/>
      <c r="W952" s="13"/>
      <c r="X952" s="13"/>
      <c r="Y952" s="13"/>
      <c r="Z952" s="13"/>
      <c r="AA952" s="13"/>
      <c r="AB952" s="13"/>
    </row>
    <row r="953" hidden="1">
      <c r="C953" s="89"/>
      <c r="D953" s="89"/>
      <c r="G953" s="56"/>
      <c r="H953" s="89"/>
      <c r="I953" s="89"/>
      <c r="J953" s="89"/>
      <c r="S953" s="13"/>
      <c r="T953" s="13"/>
      <c r="U953" s="13"/>
      <c r="V953" s="13"/>
      <c r="W953" s="13"/>
      <c r="X953" s="13"/>
      <c r="Y953" s="13"/>
      <c r="Z953" s="13"/>
      <c r="AA953" s="13"/>
      <c r="AB953" s="13"/>
    </row>
    <row r="954" hidden="1">
      <c r="C954" s="89"/>
      <c r="D954" s="89"/>
      <c r="G954" s="56"/>
      <c r="H954" s="89"/>
      <c r="I954" s="89"/>
      <c r="J954" s="89"/>
      <c r="S954" s="13"/>
      <c r="T954" s="13"/>
      <c r="U954" s="13"/>
      <c r="V954" s="13"/>
      <c r="W954" s="13"/>
      <c r="X954" s="13"/>
      <c r="Y954" s="13"/>
      <c r="Z954" s="13"/>
      <c r="AA954" s="13"/>
      <c r="AB954" s="13"/>
    </row>
    <row r="955" hidden="1">
      <c r="C955" s="89"/>
      <c r="D955" s="89"/>
      <c r="G955" s="56"/>
      <c r="H955" s="89"/>
      <c r="I955" s="89"/>
      <c r="J955" s="89"/>
      <c r="S955" s="13"/>
      <c r="T955" s="13"/>
      <c r="U955" s="13"/>
      <c r="V955" s="13"/>
      <c r="W955" s="13"/>
      <c r="X955" s="13"/>
      <c r="Y955" s="13"/>
      <c r="Z955" s="13"/>
      <c r="AA955" s="13"/>
      <c r="AB955" s="13"/>
    </row>
    <row r="956" hidden="1">
      <c r="C956" s="89"/>
      <c r="D956" s="89"/>
      <c r="G956" s="56"/>
      <c r="H956" s="89"/>
      <c r="I956" s="89"/>
      <c r="J956" s="89"/>
      <c r="S956" s="13"/>
      <c r="T956" s="13"/>
      <c r="U956" s="13"/>
      <c r="V956" s="13"/>
      <c r="W956" s="13"/>
      <c r="X956" s="13"/>
      <c r="Y956" s="13"/>
      <c r="Z956" s="13"/>
      <c r="AA956" s="13"/>
      <c r="AB956" s="13"/>
    </row>
    <row r="957" hidden="1">
      <c r="C957" s="89"/>
      <c r="D957" s="89"/>
      <c r="G957" s="56"/>
      <c r="H957" s="89"/>
      <c r="I957" s="89"/>
      <c r="J957" s="89"/>
      <c r="S957" s="13"/>
      <c r="T957" s="13"/>
      <c r="U957" s="13"/>
      <c r="V957" s="13"/>
      <c r="W957" s="13"/>
      <c r="X957" s="13"/>
      <c r="Y957" s="13"/>
      <c r="Z957" s="13"/>
      <c r="AA957" s="13"/>
      <c r="AB957" s="13"/>
    </row>
    <row r="958" hidden="1">
      <c r="C958" s="89"/>
      <c r="D958" s="89"/>
      <c r="G958" s="56"/>
      <c r="H958" s="89"/>
      <c r="I958" s="89"/>
      <c r="J958" s="89"/>
      <c r="S958" s="13"/>
      <c r="T958" s="13"/>
      <c r="U958" s="13"/>
      <c r="V958" s="13"/>
      <c r="W958" s="13"/>
      <c r="X958" s="13"/>
      <c r="Y958" s="13"/>
      <c r="Z958" s="13"/>
      <c r="AA958" s="13"/>
      <c r="AB958" s="13"/>
    </row>
    <row r="959" hidden="1">
      <c r="C959" s="89"/>
      <c r="D959" s="89"/>
      <c r="G959" s="56"/>
      <c r="H959" s="89"/>
      <c r="I959" s="89"/>
      <c r="J959" s="89"/>
      <c r="S959" s="13"/>
      <c r="T959" s="13"/>
      <c r="U959" s="13"/>
      <c r="V959" s="13"/>
      <c r="W959" s="13"/>
      <c r="X959" s="13"/>
      <c r="Y959" s="13"/>
      <c r="Z959" s="13"/>
      <c r="AA959" s="13"/>
      <c r="AB959" s="13"/>
    </row>
    <row r="960" hidden="1">
      <c r="C960" s="89"/>
      <c r="D960" s="89"/>
      <c r="G960" s="56"/>
      <c r="H960" s="89"/>
      <c r="I960" s="89"/>
      <c r="J960" s="89"/>
      <c r="S960" s="13"/>
      <c r="T960" s="13"/>
      <c r="U960" s="13"/>
      <c r="V960" s="13"/>
      <c r="W960" s="13"/>
      <c r="X960" s="13"/>
      <c r="Y960" s="13"/>
      <c r="Z960" s="13"/>
      <c r="AA960" s="13"/>
      <c r="AB960" s="13"/>
    </row>
    <row r="961" hidden="1">
      <c r="C961" s="89"/>
      <c r="D961" s="89"/>
      <c r="G961" s="56"/>
      <c r="H961" s="89"/>
      <c r="I961" s="89"/>
      <c r="J961" s="89"/>
      <c r="S961" s="13"/>
      <c r="T961" s="13"/>
      <c r="U961" s="13"/>
      <c r="V961" s="13"/>
      <c r="W961" s="13"/>
      <c r="X961" s="13"/>
      <c r="Y961" s="13"/>
      <c r="Z961" s="13"/>
      <c r="AA961" s="13"/>
      <c r="AB961" s="13"/>
    </row>
    <row r="962" hidden="1">
      <c r="C962" s="89"/>
      <c r="D962" s="89"/>
      <c r="G962" s="56"/>
      <c r="H962" s="89"/>
      <c r="I962" s="89"/>
      <c r="J962" s="89"/>
      <c r="S962" s="13"/>
      <c r="T962" s="13"/>
      <c r="U962" s="13"/>
      <c r="V962" s="13"/>
      <c r="W962" s="13"/>
      <c r="X962" s="13"/>
      <c r="Y962" s="13"/>
      <c r="Z962" s="13"/>
      <c r="AA962" s="13"/>
      <c r="AB962" s="13"/>
    </row>
    <row r="963" hidden="1">
      <c r="C963" s="89"/>
      <c r="D963" s="89"/>
      <c r="G963" s="56"/>
      <c r="H963" s="89"/>
      <c r="I963" s="89"/>
      <c r="J963" s="89"/>
      <c r="S963" s="13"/>
      <c r="T963" s="13"/>
      <c r="U963" s="13"/>
      <c r="V963" s="13"/>
      <c r="W963" s="13"/>
      <c r="X963" s="13"/>
      <c r="Y963" s="13"/>
      <c r="Z963" s="13"/>
      <c r="AA963" s="13"/>
      <c r="AB963" s="13"/>
    </row>
    <row r="964" hidden="1">
      <c r="C964" s="89"/>
      <c r="D964" s="89"/>
      <c r="G964" s="56"/>
      <c r="H964" s="89"/>
      <c r="I964" s="89"/>
      <c r="J964" s="89"/>
      <c r="S964" s="13"/>
      <c r="T964" s="13"/>
      <c r="U964" s="13"/>
      <c r="V964" s="13"/>
      <c r="W964" s="13"/>
      <c r="X964" s="13"/>
      <c r="Y964" s="13"/>
      <c r="Z964" s="13"/>
      <c r="AA964" s="13"/>
      <c r="AB964" s="13"/>
    </row>
    <row r="965" hidden="1">
      <c r="C965" s="89"/>
      <c r="D965" s="89"/>
      <c r="G965" s="56"/>
      <c r="H965" s="89"/>
      <c r="I965" s="89"/>
      <c r="J965" s="89"/>
      <c r="S965" s="13"/>
      <c r="T965" s="13"/>
      <c r="U965" s="13"/>
      <c r="V965" s="13"/>
      <c r="W965" s="13"/>
      <c r="X965" s="13"/>
      <c r="Y965" s="13"/>
      <c r="Z965" s="13"/>
      <c r="AA965" s="13"/>
      <c r="AB965" s="13"/>
    </row>
    <row r="966" hidden="1">
      <c r="C966" s="89"/>
      <c r="D966" s="89"/>
      <c r="G966" s="56"/>
      <c r="H966" s="89"/>
      <c r="I966" s="89"/>
      <c r="J966" s="89"/>
      <c r="S966" s="13"/>
      <c r="T966" s="13"/>
      <c r="U966" s="13"/>
      <c r="V966" s="13"/>
      <c r="W966" s="13"/>
      <c r="X966" s="13"/>
      <c r="Y966" s="13"/>
      <c r="Z966" s="13"/>
      <c r="AA966" s="13"/>
      <c r="AB966" s="13"/>
    </row>
    <row r="967" hidden="1">
      <c r="C967" s="89"/>
      <c r="D967" s="89"/>
      <c r="G967" s="56"/>
      <c r="H967" s="89"/>
      <c r="I967" s="89"/>
      <c r="J967" s="89"/>
      <c r="S967" s="13"/>
      <c r="T967" s="13"/>
      <c r="U967" s="13"/>
      <c r="V967" s="13"/>
      <c r="W967" s="13"/>
      <c r="X967" s="13"/>
      <c r="Y967" s="13"/>
      <c r="Z967" s="13"/>
      <c r="AA967" s="13"/>
      <c r="AB967" s="13"/>
    </row>
    <row r="968" hidden="1">
      <c r="C968" s="89"/>
      <c r="D968" s="89"/>
      <c r="G968" s="56"/>
      <c r="H968" s="89"/>
      <c r="I968" s="89"/>
      <c r="J968" s="89"/>
      <c r="S968" s="13"/>
      <c r="T968" s="13"/>
      <c r="U968" s="13"/>
      <c r="V968" s="13"/>
      <c r="W968" s="13"/>
      <c r="X968" s="13"/>
      <c r="Y968" s="13"/>
      <c r="Z968" s="13"/>
      <c r="AA968" s="13"/>
      <c r="AB968" s="13"/>
    </row>
    <row r="969" hidden="1">
      <c r="C969" s="89"/>
      <c r="D969" s="89"/>
      <c r="G969" s="56"/>
      <c r="H969" s="89"/>
      <c r="I969" s="89"/>
      <c r="J969" s="89"/>
      <c r="S969" s="13"/>
      <c r="T969" s="13"/>
      <c r="U969" s="13"/>
      <c r="V969" s="13"/>
      <c r="W969" s="13"/>
      <c r="X969" s="13"/>
      <c r="Y969" s="13"/>
      <c r="Z969" s="13"/>
      <c r="AA969" s="13"/>
      <c r="AB969" s="13"/>
    </row>
    <row r="970" hidden="1">
      <c r="C970" s="89"/>
      <c r="D970" s="89"/>
      <c r="G970" s="56"/>
      <c r="H970" s="89"/>
      <c r="I970" s="89"/>
      <c r="J970" s="89"/>
      <c r="S970" s="13"/>
      <c r="T970" s="13"/>
      <c r="U970" s="13"/>
      <c r="V970" s="13"/>
      <c r="W970" s="13"/>
      <c r="X970" s="13"/>
      <c r="Y970" s="13"/>
      <c r="Z970" s="13"/>
      <c r="AA970" s="13"/>
      <c r="AB970" s="13"/>
    </row>
    <row r="971" hidden="1">
      <c r="C971" s="89"/>
      <c r="D971" s="89"/>
      <c r="G971" s="56"/>
      <c r="H971" s="89"/>
      <c r="I971" s="89"/>
      <c r="J971" s="89"/>
      <c r="S971" s="13"/>
      <c r="T971" s="13"/>
      <c r="U971" s="13"/>
      <c r="V971" s="13"/>
      <c r="W971" s="13"/>
      <c r="X971" s="13"/>
      <c r="Y971" s="13"/>
      <c r="Z971" s="13"/>
      <c r="AA971" s="13"/>
      <c r="AB971" s="13"/>
    </row>
    <row r="972" hidden="1">
      <c r="C972" s="89"/>
      <c r="D972" s="89"/>
      <c r="G972" s="56"/>
      <c r="H972" s="89"/>
      <c r="I972" s="89"/>
      <c r="J972" s="89"/>
      <c r="S972" s="13"/>
      <c r="T972" s="13"/>
      <c r="U972" s="13"/>
      <c r="V972" s="13"/>
      <c r="W972" s="13"/>
      <c r="X972" s="13"/>
      <c r="Y972" s="13"/>
      <c r="Z972" s="13"/>
      <c r="AA972" s="13"/>
      <c r="AB972" s="13"/>
    </row>
    <row r="973" hidden="1">
      <c r="C973" s="89"/>
      <c r="D973" s="89"/>
      <c r="G973" s="56"/>
      <c r="H973" s="89"/>
      <c r="I973" s="89"/>
      <c r="J973" s="89"/>
      <c r="S973" s="13"/>
      <c r="T973" s="13"/>
      <c r="U973" s="13"/>
      <c r="V973" s="13"/>
      <c r="W973" s="13"/>
      <c r="X973" s="13"/>
      <c r="Y973" s="13"/>
      <c r="Z973" s="13"/>
      <c r="AA973" s="13"/>
      <c r="AB973" s="13"/>
    </row>
    <row r="974" hidden="1">
      <c r="C974" s="89"/>
      <c r="D974" s="89"/>
      <c r="G974" s="56"/>
      <c r="H974" s="89"/>
      <c r="I974" s="89"/>
      <c r="J974" s="89"/>
      <c r="S974" s="13"/>
      <c r="T974" s="13"/>
      <c r="U974" s="13"/>
      <c r="V974" s="13"/>
      <c r="W974" s="13"/>
      <c r="X974" s="13"/>
      <c r="Y974" s="13"/>
      <c r="Z974" s="13"/>
      <c r="AA974" s="13"/>
      <c r="AB974" s="13"/>
    </row>
    <row r="975" hidden="1">
      <c r="C975" s="89"/>
      <c r="D975" s="89"/>
      <c r="G975" s="56"/>
      <c r="H975" s="89"/>
      <c r="I975" s="89"/>
      <c r="J975" s="89"/>
      <c r="S975" s="13"/>
      <c r="T975" s="13"/>
      <c r="U975" s="13"/>
      <c r="V975" s="13"/>
      <c r="W975" s="13"/>
      <c r="X975" s="13"/>
      <c r="Y975" s="13"/>
      <c r="Z975" s="13"/>
      <c r="AA975" s="13"/>
      <c r="AB975" s="13"/>
    </row>
    <row r="976" hidden="1">
      <c r="C976" s="89"/>
      <c r="D976" s="89"/>
      <c r="G976" s="56"/>
      <c r="H976" s="89"/>
      <c r="I976" s="89"/>
      <c r="J976" s="89"/>
      <c r="S976" s="13"/>
      <c r="T976" s="13"/>
      <c r="U976" s="13"/>
      <c r="V976" s="13"/>
      <c r="W976" s="13"/>
      <c r="X976" s="13"/>
      <c r="Y976" s="13"/>
      <c r="Z976" s="13"/>
      <c r="AA976" s="13"/>
      <c r="AB976" s="13"/>
    </row>
    <row r="977" hidden="1">
      <c r="C977" s="89"/>
      <c r="D977" s="89"/>
      <c r="G977" s="56"/>
      <c r="H977" s="89"/>
      <c r="I977" s="89"/>
      <c r="J977" s="89"/>
      <c r="S977" s="13"/>
      <c r="T977" s="13"/>
      <c r="U977" s="13"/>
      <c r="V977" s="13"/>
      <c r="W977" s="13"/>
      <c r="X977" s="13"/>
      <c r="Y977" s="13"/>
      <c r="Z977" s="13"/>
      <c r="AA977" s="13"/>
      <c r="AB977" s="13"/>
    </row>
    <row r="978" hidden="1">
      <c r="C978" s="89"/>
      <c r="D978" s="89"/>
      <c r="G978" s="56"/>
      <c r="H978" s="89"/>
      <c r="I978" s="89"/>
      <c r="J978" s="89"/>
      <c r="S978" s="13"/>
      <c r="T978" s="13"/>
      <c r="U978" s="13"/>
      <c r="V978" s="13"/>
      <c r="W978" s="13"/>
      <c r="X978" s="13"/>
      <c r="Y978" s="13"/>
      <c r="Z978" s="13"/>
      <c r="AA978" s="13"/>
      <c r="AB978" s="13"/>
    </row>
    <row r="979" hidden="1">
      <c r="C979" s="89"/>
      <c r="D979" s="89"/>
      <c r="G979" s="56"/>
      <c r="H979" s="89"/>
      <c r="I979" s="89"/>
      <c r="J979" s="89"/>
      <c r="S979" s="13"/>
      <c r="T979" s="13"/>
      <c r="U979" s="13"/>
      <c r="V979" s="13"/>
      <c r="W979" s="13"/>
      <c r="X979" s="13"/>
      <c r="Y979" s="13"/>
      <c r="Z979" s="13"/>
      <c r="AA979" s="13"/>
      <c r="AB979" s="13"/>
    </row>
    <row r="980" hidden="1">
      <c r="C980" s="89"/>
      <c r="D980" s="89"/>
      <c r="G980" s="56"/>
      <c r="H980" s="89"/>
      <c r="I980" s="89"/>
      <c r="J980" s="89"/>
      <c r="S980" s="13"/>
      <c r="T980" s="13"/>
      <c r="U980" s="13"/>
      <c r="V980" s="13"/>
      <c r="W980" s="13"/>
      <c r="X980" s="13"/>
      <c r="Y980" s="13"/>
      <c r="Z980" s="13"/>
      <c r="AA980" s="13"/>
      <c r="AB980" s="13"/>
    </row>
    <row r="981" hidden="1">
      <c r="C981" s="89"/>
      <c r="D981" s="89"/>
      <c r="G981" s="56"/>
      <c r="H981" s="89"/>
      <c r="I981" s="89"/>
      <c r="J981" s="89"/>
      <c r="S981" s="13"/>
      <c r="T981" s="13"/>
      <c r="U981" s="13"/>
      <c r="V981" s="13"/>
      <c r="W981" s="13"/>
      <c r="X981" s="13"/>
      <c r="Y981" s="13"/>
      <c r="Z981" s="13"/>
      <c r="AA981" s="13"/>
      <c r="AB981" s="13"/>
    </row>
    <row r="982" hidden="1">
      <c r="C982" s="89"/>
      <c r="D982" s="89"/>
      <c r="G982" s="56"/>
      <c r="H982" s="89"/>
      <c r="I982" s="89"/>
      <c r="J982" s="89"/>
      <c r="S982" s="13"/>
      <c r="T982" s="13"/>
      <c r="U982" s="13"/>
      <c r="V982" s="13"/>
      <c r="W982" s="13"/>
      <c r="X982" s="13"/>
      <c r="Y982" s="13"/>
      <c r="Z982" s="13"/>
      <c r="AA982" s="13"/>
      <c r="AB982" s="13"/>
    </row>
    <row r="983" hidden="1">
      <c r="C983" s="89"/>
      <c r="D983" s="89"/>
      <c r="G983" s="56"/>
      <c r="H983" s="89"/>
      <c r="I983" s="89"/>
      <c r="J983" s="89"/>
      <c r="S983" s="13"/>
      <c r="T983" s="13"/>
      <c r="U983" s="13"/>
      <c r="V983" s="13"/>
      <c r="W983" s="13"/>
      <c r="X983" s="13"/>
      <c r="Y983" s="13"/>
      <c r="Z983" s="13"/>
      <c r="AA983" s="13"/>
      <c r="AB983" s="13"/>
    </row>
    <row r="984" hidden="1">
      <c r="C984" s="89"/>
      <c r="D984" s="89"/>
      <c r="G984" s="56"/>
      <c r="H984" s="89"/>
      <c r="I984" s="89"/>
      <c r="J984" s="89"/>
      <c r="S984" s="13"/>
      <c r="T984" s="13"/>
      <c r="U984" s="13"/>
      <c r="V984" s="13"/>
      <c r="W984" s="13"/>
      <c r="X984" s="13"/>
      <c r="Y984" s="13"/>
      <c r="Z984" s="13"/>
      <c r="AA984" s="13"/>
      <c r="AB984" s="13"/>
    </row>
    <row r="985" hidden="1">
      <c r="C985" s="89"/>
      <c r="D985" s="89"/>
      <c r="G985" s="56"/>
      <c r="H985" s="89"/>
      <c r="I985" s="89"/>
      <c r="J985" s="89"/>
      <c r="S985" s="13"/>
      <c r="T985" s="13"/>
      <c r="U985" s="13"/>
      <c r="V985" s="13"/>
      <c r="W985" s="13"/>
      <c r="X985" s="13"/>
      <c r="Y985" s="13"/>
      <c r="Z985" s="13"/>
      <c r="AA985" s="13"/>
      <c r="AB985" s="13"/>
    </row>
    <row r="986" hidden="1">
      <c r="C986" s="89"/>
      <c r="D986" s="89"/>
      <c r="G986" s="56"/>
      <c r="H986" s="89"/>
      <c r="I986" s="89"/>
      <c r="J986" s="89"/>
      <c r="S986" s="13"/>
      <c r="T986" s="13"/>
      <c r="U986" s="13"/>
      <c r="V986" s="13"/>
      <c r="W986" s="13"/>
      <c r="X986" s="13"/>
      <c r="Y986" s="13"/>
      <c r="Z986" s="13"/>
      <c r="AA986" s="13"/>
      <c r="AB986" s="13"/>
    </row>
    <row r="987" hidden="1">
      <c r="C987" s="89"/>
      <c r="D987" s="89"/>
      <c r="G987" s="56"/>
      <c r="H987" s="89"/>
      <c r="I987" s="89"/>
      <c r="J987" s="89"/>
      <c r="S987" s="13"/>
      <c r="T987" s="13"/>
      <c r="U987" s="13"/>
      <c r="V987" s="13"/>
      <c r="W987" s="13"/>
      <c r="X987" s="13"/>
      <c r="Y987" s="13"/>
      <c r="Z987" s="13"/>
      <c r="AA987" s="13"/>
      <c r="AB987" s="13"/>
    </row>
    <row r="988" hidden="1">
      <c r="C988" s="89"/>
      <c r="D988" s="89"/>
      <c r="G988" s="56"/>
      <c r="H988" s="89"/>
      <c r="I988" s="89"/>
      <c r="J988" s="89"/>
      <c r="S988" s="13"/>
      <c r="T988" s="13"/>
      <c r="U988" s="13"/>
      <c r="V988" s="13"/>
      <c r="W988" s="13"/>
      <c r="X988" s="13"/>
      <c r="Y988" s="13"/>
      <c r="Z988" s="13"/>
      <c r="AA988" s="13"/>
      <c r="AB988" s="13"/>
    </row>
  </sheetData>
  <autoFilter ref="$A$1:$J$988">
    <filterColumn colId="2">
      <filters>
        <filter val="1"/>
      </filters>
    </filterColumn>
    <sortState ref="A1:J988">
      <sortCondition ref="B1:B988"/>
      <sortCondition ref="D1:D988"/>
      <sortCondition ref="A1:A988"/>
      <sortCondition ref="H1:H988"/>
    </sortState>
  </autoFilter>
  <conditionalFormatting sqref="B2:B338 B340:B988">
    <cfRule type="cellIs" dxfId="0" priority="1" operator="equal">
      <formula>"Void"</formula>
    </cfRule>
  </conditionalFormatting>
  <conditionalFormatting sqref="B2:B338 B340:B988">
    <cfRule type="cellIs" dxfId="1" priority="2" operator="equal">
      <formula>"Divine"</formula>
    </cfRule>
  </conditionalFormatting>
  <conditionalFormatting sqref="B2:B338 B340:B988">
    <cfRule type="cellIs" dxfId="2" priority="3" operator="equal">
      <formula>"Mortal"</formula>
    </cfRule>
  </conditionalFormatting>
  <conditionalFormatting sqref="B2:B338 B340:B988">
    <cfRule type="cellIs" dxfId="3" priority="4" operator="equal">
      <formula>"Elemental"</formula>
    </cfRule>
  </conditionalFormatting>
  <conditionalFormatting sqref="B2:B338 B340:B988">
    <cfRule type="cellIs" dxfId="4" priority="5" operator="equal">
      <formula>"Nature"</formula>
    </cfRule>
  </conditionalFormatting>
  <conditionalFormatting sqref="S2:AB988">
    <cfRule type="notContainsBlanks" dxfId="5" priority="6">
      <formula>LEN(TRIM(S2))&gt;0</formula>
    </cfRule>
  </conditionalFormatting>
  <dataValidations>
    <dataValidation type="custom" allowBlank="1" showDropDown="1" showErrorMessage="1" sqref="S2:AB988">
      <formula1>IFERROR(ISURL(S2), true)</formula1>
    </dataValidation>
  </dataValidations>
  <hyperlinks>
    <hyperlink r:id="rId1" ref="S2"/>
    <hyperlink r:id="rId2" ref="T2"/>
    <hyperlink r:id="rId3" ref="S5"/>
    <hyperlink r:id="rId4" ref="S6"/>
    <hyperlink r:id="rId5" ref="S7"/>
    <hyperlink r:id="rId6" ref="S8"/>
    <hyperlink r:id="rId7" ref="S9"/>
    <hyperlink r:id="rId8" ref="T9"/>
    <hyperlink r:id="rId9" ref="S11"/>
    <hyperlink r:id="rId10" ref="S15"/>
    <hyperlink r:id="rId11" ref="S18"/>
    <hyperlink r:id="rId12" ref="S19"/>
    <hyperlink r:id="rId13" ref="T19"/>
    <hyperlink r:id="rId14" ref="S22"/>
    <hyperlink r:id="rId15" ref="T22"/>
    <hyperlink r:id="rId16" ref="U22"/>
    <hyperlink r:id="rId17" ref="S23"/>
    <hyperlink r:id="rId18" ref="S25"/>
    <hyperlink r:id="rId19" ref="S27"/>
    <hyperlink r:id="rId20" ref="S28"/>
    <hyperlink r:id="rId21" ref="S29"/>
    <hyperlink r:id="rId22" ref="S38"/>
    <hyperlink r:id="rId23" ref="S39"/>
    <hyperlink r:id="rId24" ref="S40"/>
    <hyperlink r:id="rId25" ref="S42"/>
    <hyperlink r:id="rId26" ref="S47"/>
    <hyperlink r:id="rId27" ref="S48"/>
    <hyperlink r:id="rId28" ref="S49"/>
    <hyperlink r:id="rId29" ref="S50"/>
    <hyperlink r:id="rId30" ref="S52"/>
    <hyperlink r:id="rId31" ref="S56"/>
    <hyperlink r:id="rId32" ref="S59"/>
    <hyperlink r:id="rId33" ref="S62"/>
    <hyperlink r:id="rId34" ref="S63"/>
    <hyperlink r:id="rId35" ref="S65"/>
    <hyperlink r:id="rId36" ref="S69"/>
    <hyperlink r:id="rId37" ref="S72"/>
    <hyperlink r:id="rId38" ref="S73"/>
    <hyperlink r:id="rId39" ref="S74"/>
    <hyperlink r:id="rId40" ref="S76"/>
    <hyperlink r:id="rId41" ref="S78"/>
    <hyperlink r:id="rId42" ref="S79"/>
    <hyperlink r:id="rId43" ref="T79"/>
    <hyperlink r:id="rId44" ref="U79"/>
    <hyperlink r:id="rId45" ref="S80"/>
    <hyperlink r:id="rId46" ref="T80"/>
    <hyperlink r:id="rId47" ref="U80"/>
    <hyperlink r:id="rId48" ref="V80"/>
    <hyperlink r:id="rId49" ref="W80"/>
    <hyperlink r:id="rId50" ref="X80"/>
    <hyperlink r:id="rId51" ref="Y80"/>
    <hyperlink r:id="rId52" ref="Z80"/>
    <hyperlink r:id="rId53" ref="AA80"/>
    <hyperlink r:id="rId54" ref="AB80"/>
    <hyperlink r:id="rId55" ref="S81"/>
    <hyperlink r:id="rId56" ref="T81"/>
    <hyperlink r:id="rId57" ref="U81"/>
    <hyperlink r:id="rId58" ref="V81"/>
    <hyperlink r:id="rId59" ref="W81"/>
    <hyperlink r:id="rId60" ref="X81"/>
    <hyperlink r:id="rId61" ref="Y81"/>
    <hyperlink r:id="rId62" ref="Z81"/>
    <hyperlink r:id="rId63" ref="AA81"/>
    <hyperlink r:id="rId64" ref="AB81"/>
    <hyperlink r:id="rId65" ref="S84"/>
    <hyperlink r:id="rId66" ref="T84"/>
    <hyperlink r:id="rId67" ref="U84"/>
    <hyperlink r:id="rId68" ref="V84"/>
    <hyperlink r:id="rId69" ref="W84"/>
    <hyperlink r:id="rId70" ref="X84"/>
    <hyperlink r:id="rId71" ref="Y84"/>
    <hyperlink r:id="rId72" ref="S88"/>
    <hyperlink r:id="rId73" ref="T88"/>
    <hyperlink r:id="rId74" ref="U88"/>
    <hyperlink r:id="rId75" ref="V88"/>
    <hyperlink r:id="rId76" ref="W88"/>
    <hyperlink r:id="rId77" ref="X88"/>
    <hyperlink r:id="rId78" ref="Y88"/>
    <hyperlink r:id="rId79" ref="S90"/>
    <hyperlink r:id="rId80" ref="T90"/>
    <hyperlink r:id="rId81" ref="U90"/>
    <hyperlink r:id="rId82" ref="V90"/>
    <hyperlink r:id="rId83" ref="W90"/>
    <hyperlink r:id="rId84" ref="X90"/>
    <hyperlink r:id="rId85" ref="S91"/>
    <hyperlink r:id="rId86" ref="T91"/>
    <hyperlink r:id="rId87" ref="U91"/>
    <hyperlink r:id="rId88" ref="V91"/>
    <hyperlink r:id="rId89" ref="W91"/>
    <hyperlink r:id="rId90" ref="X91"/>
    <hyperlink r:id="rId91" ref="Y91"/>
    <hyperlink r:id="rId92" ref="Z91"/>
    <hyperlink r:id="rId93" ref="AA91"/>
    <hyperlink r:id="rId94" ref="AB91"/>
    <hyperlink r:id="rId95" ref="S93"/>
    <hyperlink r:id="rId96" ref="T93"/>
    <hyperlink r:id="rId97" ref="U93"/>
    <hyperlink r:id="rId98" ref="V93"/>
    <hyperlink r:id="rId99" ref="W93"/>
    <hyperlink r:id="rId100" ref="X93"/>
    <hyperlink r:id="rId101" ref="S97"/>
    <hyperlink r:id="rId102" ref="T97"/>
    <hyperlink r:id="rId103" ref="U97"/>
    <hyperlink r:id="rId104" ref="V97"/>
    <hyperlink r:id="rId105" ref="W97"/>
    <hyperlink r:id="rId106" ref="S99"/>
    <hyperlink r:id="rId107" ref="T99"/>
    <hyperlink r:id="rId108" ref="U99"/>
    <hyperlink r:id="rId109" ref="V99"/>
    <hyperlink r:id="rId110" ref="W99"/>
    <hyperlink r:id="rId111" ref="X99"/>
    <hyperlink r:id="rId112" ref="Y99"/>
    <hyperlink r:id="rId113" ref="Z99"/>
    <hyperlink r:id="rId114" ref="AA99"/>
    <hyperlink r:id="rId115" ref="AB99"/>
    <hyperlink r:id="rId116" ref="S100"/>
    <hyperlink r:id="rId117" ref="T100"/>
    <hyperlink r:id="rId118" ref="U100"/>
    <hyperlink r:id="rId119" ref="V100"/>
    <hyperlink r:id="rId120" ref="W100"/>
    <hyperlink r:id="rId121" ref="X100"/>
    <hyperlink r:id="rId122" ref="Y100"/>
    <hyperlink r:id="rId123" ref="Z100"/>
    <hyperlink r:id="rId124" ref="AA100"/>
    <hyperlink r:id="rId125" ref="AB100"/>
    <hyperlink r:id="rId126" ref="S103"/>
    <hyperlink r:id="rId127" ref="T103"/>
    <hyperlink r:id="rId128" ref="U103"/>
    <hyperlink r:id="rId129" ref="V103"/>
    <hyperlink r:id="rId130" ref="S104"/>
    <hyperlink r:id="rId131" ref="T104"/>
    <hyperlink r:id="rId132" ref="U104"/>
    <hyperlink r:id="rId133" ref="V104"/>
    <hyperlink r:id="rId134" ref="W104"/>
    <hyperlink r:id="rId135" ref="X104"/>
    <hyperlink r:id="rId136" ref="Y104"/>
    <hyperlink r:id="rId137" ref="Z104"/>
    <hyperlink r:id="rId138" ref="AA104"/>
    <hyperlink r:id="rId139" ref="AB104"/>
    <hyperlink r:id="rId140" ref="S105"/>
    <hyperlink r:id="rId141" ref="T105"/>
  </hyperlinks>
  <drawing r:id="rId14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c r="B1" s="2" t="s">
        <v>1399</v>
      </c>
    </row>
    <row r="2">
      <c r="A2" s="19" t="s">
        <v>1400</v>
      </c>
      <c r="B2" s="19" t="s">
        <v>1401</v>
      </c>
    </row>
    <row r="3">
      <c r="A3" s="19" t="s">
        <v>1402</v>
      </c>
      <c r="B3" s="19" t="s">
        <v>1403</v>
      </c>
    </row>
    <row r="4">
      <c r="A4" s="19" t="s">
        <v>1404</v>
      </c>
      <c r="B4" s="19" t="s">
        <v>1405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7.0"/>
    <col customWidth="1" min="4" max="4" width="16.14"/>
    <col customWidth="1" min="5" max="5" width="23.14"/>
    <col customWidth="1" min="6" max="6" width="16.14"/>
    <col customWidth="1" min="7" max="7" width="18.29"/>
    <col customWidth="1" min="10" max="10" width="21.43"/>
    <col customWidth="1" min="11" max="11" width="16.0"/>
    <col customWidth="1" min="13" max="13" width="21.57"/>
  </cols>
  <sheetData>
    <row r="1">
      <c r="A1" s="90" t="s">
        <v>1406</v>
      </c>
      <c r="B1" s="91" t="s">
        <v>1407</v>
      </c>
      <c r="C1" s="92" t="s">
        <v>1408</v>
      </c>
      <c r="D1" s="92" t="s">
        <v>42</v>
      </c>
      <c r="E1" s="92" t="s">
        <v>50</v>
      </c>
      <c r="F1" s="93" t="s">
        <v>33</v>
      </c>
      <c r="G1" s="58"/>
      <c r="H1" s="58"/>
      <c r="I1" s="94" t="s">
        <v>1409</v>
      </c>
      <c r="J1" s="94" t="s">
        <v>1410</v>
      </c>
      <c r="K1" s="94" t="s">
        <v>1411</v>
      </c>
    </row>
    <row r="2">
      <c r="A2" s="95">
        <f>IFERROR(__xludf.DUMMYFUNCTION("COUNTIF(QUERY('1. Karten'!A:Q,""SELECT A WHERE C="" &amp; $A$4) ,""*"")-1"),170.0)</f>
        <v>170</v>
      </c>
      <c r="B2" s="96" t="s">
        <v>15</v>
      </c>
      <c r="C2" s="97">
        <f>IFERROR(__xludf.DUMMYFUNCTION("IFNA(QUERY('1. Karten'!$A:$Q,""select count(A) where ("" &amp; IF($A$4=""*"",,""C="" &amp; $A$4 &amp; "" AND"") &amp; "" B LIKE '"" &amp; $B2 &amp; ""') label Count(A) ''""),0)"),28.0)</f>
        <v>28</v>
      </c>
      <c r="D2" s="97">
        <f>IFERROR(__xludf.DUMMYFUNCTION("IFNA(QUERY('1. Karten'!$A:$Q,""select count(A) where ("" &amp; IF($A$4=""*"",,""C="" &amp; $A$4 &amp; "" AND"") &amp; "" B='"" &amp; $B2 &amp; ""' AND J='"" &amp; D$1 &amp; ""') label Count(A) ''""),0)"),14.0)</f>
        <v>14</v>
      </c>
      <c r="E2" s="97">
        <f>IFERROR(__xludf.DUMMYFUNCTION("IFNA(QUERY('1. Karten'!$A:$Q,""select count(A) where ("" &amp; IF($A$4=""*"",,""C="" &amp; $A$4 &amp; "" AND"") &amp; "" B='"" &amp; $B2 &amp; ""' AND J='"" &amp; E$1 &amp; ""') label Count(A) ''""),0)"),10.0)</f>
        <v>10</v>
      </c>
      <c r="F2" s="98">
        <f>IFERROR(__xludf.DUMMYFUNCTION("IFNA(QUERY('1. Karten'!$A:$Q,""select count(A) where ("" &amp; IF($A$4=""*"",,""C="" &amp; $A$4 &amp; "" AND"") &amp; "" B='"" &amp; $B2 &amp; ""' AND J='"" &amp; F$1 &amp; ""') label Count(A) ''""),0)"),4.0)</f>
        <v>4</v>
      </c>
      <c r="I2" s="99">
        <v>0.0</v>
      </c>
      <c r="J2" s="13">
        <f>IFERROR(__xludf.DUMMYFUNCTION("IFNA(QUERY('1. Karten'!$A:$Q,""select count(A) where (C="" &amp; $A$4 &amp; "") AND (H="" &amp; $I2 &amp; "") label Count(A) ''""),0)"),5.0)</f>
        <v>5</v>
      </c>
      <c r="K2" s="13">
        <f>IFERROR(__xludf.DUMMYFUNCTION("IFNA(QUERY('1. Karten'!$A:$Q,""select count(A) where (C="" &amp; $A$4 &amp; "") AND (Q="" &amp; $I2 &amp; "") label Count(A) ''""),0)"),0.0)</f>
        <v>0</v>
      </c>
      <c r="U2" s="89"/>
    </row>
    <row r="3">
      <c r="A3" s="100" t="s">
        <v>1412</v>
      </c>
      <c r="B3" s="96" t="s">
        <v>11</v>
      </c>
      <c r="C3" s="97">
        <f>IFERROR(__xludf.DUMMYFUNCTION("IFNA(QUERY('1. Karten'!$A:$Q,""select count(A) where ("" &amp; IF($A$4=""*"",,""C="" &amp; $A$4 &amp; "" AND"") &amp; "" B LIKE '"" &amp; $B3 &amp; ""') label Count(A) ''""),0)"),29.0)</f>
        <v>29</v>
      </c>
      <c r="D3" s="97">
        <f>IFERROR(__xludf.DUMMYFUNCTION("IFNA(QUERY('1. Karten'!$A:$Q,""select count(A) where ("" &amp; IF($A$4=""*"",,""C="" &amp; $A$4 &amp; "" AND"") &amp; "" B='"" &amp; $B3 &amp; ""' AND J='"" &amp; D$1 &amp; ""') label Count(A) ''""),0)"),14.0)</f>
        <v>14</v>
      </c>
      <c r="E3" s="97">
        <f>IFERROR(__xludf.DUMMYFUNCTION("IFNA(QUERY('1. Karten'!$A:$Q,""select count(A) where ("" &amp; IF($A$4=""*"",,""C="" &amp; $A$4 &amp; "" AND"") &amp; "" B='"" &amp; $B3 &amp; ""' AND J='"" &amp; E$1 &amp; ""') label Count(A) ''""),0)"),11.0)</f>
        <v>11</v>
      </c>
      <c r="F3" s="98">
        <f>IFERROR(__xludf.DUMMYFUNCTION("IFNA(QUERY('1. Karten'!$A:$Q,""select count(A) where ("" &amp; IF($A$4=""*"",,""C="" &amp; $A$4 &amp; "" AND"") &amp; "" B='"" &amp; $B3 &amp; ""' AND J='"" &amp; F$1 &amp; ""') label Count(A) ''""),0)"),4.0)</f>
        <v>4</v>
      </c>
      <c r="I3" s="101">
        <v>1.0</v>
      </c>
      <c r="J3" s="13">
        <f>IFERROR(__xludf.DUMMYFUNCTION("IFNA(QUERY('1. Karten'!$A:$Q,""select count(A) where (C="" &amp; $A$4 &amp; "") AND (H="" &amp; $I3 &amp; "") label Count(A) ''""),0)"),14.0)</f>
        <v>14</v>
      </c>
      <c r="K3" s="13">
        <f>IFERROR(__xludf.DUMMYFUNCTION("IFNA(QUERY('1. Karten'!$A:$Q,""select count(A) where (C="" &amp; $A$4 &amp; "") AND (Q="" &amp; $I3 &amp; "") label Count(A) ''""),0)"),10.0)</f>
        <v>10</v>
      </c>
    </row>
    <row r="4">
      <c r="A4" s="102">
        <v>1.0</v>
      </c>
      <c r="B4" s="96" t="s">
        <v>14</v>
      </c>
      <c r="C4" s="97">
        <f>IFERROR(__xludf.DUMMYFUNCTION("IFNA(QUERY('1. Karten'!$A:$Q,""select count(A) where ("" &amp; IF($A$4=""*"",,""C="" &amp; $A$4 &amp; "" AND"") &amp; "" B LIKE '"" &amp; $B4 &amp; ""') label Count(A) ''""),0)"),26.0)</f>
        <v>26</v>
      </c>
      <c r="D4" s="97">
        <f>IFERROR(__xludf.DUMMYFUNCTION("IFNA(QUERY('1. Karten'!$A:$Q,""select count(A) where ("" &amp; IF($A$4=""*"",,""C="" &amp; $A$4 &amp; "" AND"") &amp; "" B='"" &amp; $B4 &amp; ""' AND J='"" &amp; D$1 &amp; ""') label Count(A) ''""),0)"),13.0)</f>
        <v>13</v>
      </c>
      <c r="E4" s="97">
        <f>IFERROR(__xludf.DUMMYFUNCTION("IFNA(QUERY('1. Karten'!$A:$Q,""select count(A) where ("" &amp; IF($A$4=""*"",,""C="" &amp; $A$4 &amp; "" AND"") &amp; "" B='"" &amp; $B4 &amp; ""' AND J='"" &amp; E$1 &amp; ""') label Count(A) ''""),0)"),7.0)</f>
        <v>7</v>
      </c>
      <c r="F4" s="98">
        <f>IFERROR(__xludf.DUMMYFUNCTION("IFNA(QUERY('1. Karten'!$A:$Q,""select count(A) where ("" &amp; IF($A$4=""*"",,""C="" &amp; $A$4 &amp; "" AND"") &amp; "" B='"" &amp; $B4 &amp; ""' AND J='"" &amp; F$1 &amp; ""') label Count(A) ''""),0)"),6.0)</f>
        <v>6</v>
      </c>
      <c r="I4" s="101">
        <v>2.0</v>
      </c>
      <c r="J4" s="13">
        <f>IFERROR(__xludf.DUMMYFUNCTION("IFNA(QUERY('1. Karten'!$A:$Q,""select count(A) where (C="" &amp; $A$4 &amp; "") AND (H="" &amp; $I4 &amp; "") label Count(A) ''""),0)"),49.0)</f>
        <v>49</v>
      </c>
      <c r="K4" s="13">
        <f>IFERROR(__xludf.DUMMYFUNCTION("IFNA(QUERY('1. Karten'!$A:$Q,""select count(A) where (C="" &amp; $A$4 &amp; "") AND (Q="" &amp; $I4 &amp; "") label Count(A) ''""),0)"),34.0)</f>
        <v>34</v>
      </c>
    </row>
    <row r="5">
      <c r="B5" s="103" t="s">
        <v>12</v>
      </c>
      <c r="C5" s="97">
        <f>IFERROR(__xludf.DUMMYFUNCTION("IFNA(QUERY('1. Karten'!$A:$Q,""select count(A) where ("" &amp; IF($A$4=""*"",,""C="" &amp; $A$4 &amp; "" AND"") &amp; "" B LIKE '"" &amp; $B5 &amp; ""') label Count(A) ''""),0)"),28.0)</f>
        <v>28</v>
      </c>
      <c r="D5" s="97">
        <f>IFERROR(__xludf.DUMMYFUNCTION("IFNA(QUERY('1. Karten'!$A:$Q,""select count(A) where ("" &amp; IF($A$4=""*"",,""C="" &amp; $A$4 &amp; "" AND"") &amp; "" B='"" &amp; $B5 &amp; ""' AND J='"" &amp; D$1 &amp; ""') label Count(A) ''""),0)"),17.0)</f>
        <v>17</v>
      </c>
      <c r="E5" s="97">
        <f>IFERROR(__xludf.DUMMYFUNCTION("IFNA(QUERY('1. Karten'!$A:$Q,""select count(A) where ("" &amp; IF($A$4=""*"",,""C="" &amp; $A$4 &amp; "" AND"") &amp; "" B='"" &amp; $B5 &amp; ""' AND J='"" &amp; E$1 &amp; ""') label Count(A) ''""),0)"),8.0)</f>
        <v>8</v>
      </c>
      <c r="F5" s="98">
        <f>IFERROR(__xludf.DUMMYFUNCTION("IFNA(QUERY('1. Karten'!$A:$Q,""select count(A) where ("" &amp; IF($A$4=""*"",,""C="" &amp; $A$4 &amp; "" AND"") &amp; "" B='"" &amp; $B5 &amp; ""' AND J='"" &amp; F$1 &amp; ""') label Count(A) ''""),0)"),3.0)</f>
        <v>3</v>
      </c>
      <c r="I5" s="101">
        <v>3.0</v>
      </c>
      <c r="J5" s="13">
        <f>IFERROR(__xludf.DUMMYFUNCTION("IFNA(QUERY('1. Karten'!$A:$Q,""select count(A) where (C="" &amp; $A$4 &amp; "") AND (H="" &amp; $I5 &amp; "") label Count(A) ''""),0)"),36.0)</f>
        <v>36</v>
      </c>
      <c r="K5" s="13">
        <f>IFERROR(__xludf.DUMMYFUNCTION("IFNA(QUERY('1. Karten'!$A:$Q,""select count(A) where (C="" &amp; $A$4 &amp; "") AND (Q="" &amp; $I5 &amp; "") label Count(A) ''""),0)"),31.0)</f>
        <v>31</v>
      </c>
    </row>
    <row r="6">
      <c r="A6" s="104"/>
      <c r="B6" s="96" t="s">
        <v>13</v>
      </c>
      <c r="C6" s="97">
        <f>IFERROR(__xludf.DUMMYFUNCTION("IFNA(QUERY('1. Karten'!$A:$Q,""select count(A) where ("" &amp; IF($A$4=""*"",,""C="" &amp; $A$4 &amp; "" AND"") &amp; "" B LIKE '"" &amp; $B6 &amp; ""') label Count(A) ''""),0)"),25.0)</f>
        <v>25</v>
      </c>
      <c r="D6" s="97">
        <f>IFERROR(__xludf.DUMMYFUNCTION("IFNA(QUERY('1. Karten'!$A:$Q,""select count(A) where ("" &amp; IF($A$4=""*"",,""C="" &amp; $A$4 &amp; "" AND"") &amp; "" B='"" &amp; $B6 &amp; ""' AND J='"" &amp; D$1 &amp; ""') label Count(A) ''""),0)"),16.0)</f>
        <v>16</v>
      </c>
      <c r="E6" s="97">
        <f>IFERROR(__xludf.DUMMYFUNCTION("IFNA(QUERY('1. Karten'!$A:$Q,""select count(A) where ("" &amp; IF($A$4=""*"",,""C="" &amp; $A$4 &amp; "" AND"") &amp; "" B='"" &amp; $B6 &amp; ""' AND J='"" &amp; E$1 &amp; ""') label Count(A) ''""),0)"),6.0)</f>
        <v>6</v>
      </c>
      <c r="F6" s="98">
        <f>IFERROR(__xludf.DUMMYFUNCTION("IFNA(QUERY('1. Karten'!$A:$Q,""select count(A) where ("" &amp; IF($A$4=""*"",,""C="" &amp; $A$4 &amp; "" AND"") &amp; "" B='"" &amp; $B6 &amp; ""' AND J='"" &amp; F$1 &amp; ""') label Count(A) ''""),0)"),3.0)</f>
        <v>3</v>
      </c>
      <c r="I6" s="101">
        <v>4.0</v>
      </c>
      <c r="J6" s="13">
        <f>IFERROR(__xludf.DUMMYFUNCTION("IFNA(QUERY('1. Karten'!$A:$Q,""select count(A) where (C="" &amp; $A$4 &amp; "") AND (H="" &amp; $I6 &amp; "") label Count(A) ''""),0)"),27.0)</f>
        <v>27</v>
      </c>
      <c r="K6" s="13">
        <f>IFERROR(__xludf.DUMMYFUNCTION("IFNA(QUERY('1. Karten'!$A:$Q,""select count(A) where (C="" &amp; $A$4 &amp; "") AND (Q="" &amp; $I6 &amp; "") label Count(A) ''""),0)"),42.0)</f>
        <v>42</v>
      </c>
    </row>
    <row r="7">
      <c r="A7" s="21"/>
      <c r="B7" s="105" t="s">
        <v>1413</v>
      </c>
      <c r="C7" s="97">
        <f>IFERROR(__xludf.DUMMYFUNCTION("IFNA(QUERY('1. Karten'!$A:$Q,""select count(A) where ("" &amp; IF($A$4=""*"",,""C="" &amp; $A$4 &amp; "" AND"") &amp; "" B LIKE '') label Count(A) ''""),0)"),4.0)</f>
        <v>4</v>
      </c>
      <c r="D7" s="97">
        <f>IFERROR(__xludf.DUMMYFUNCTION("IFNA(QUERY('1. Karten'!$A:$Q,""select count(A) where ("" &amp; IF($A$4=""*"",,""C="" &amp; $A$4 &amp; "" AND"") &amp; "" B LIKE '' AND J='"" &amp; D$1 &amp; ""') label Count(A) ''""),0)"),2.0)</f>
        <v>2</v>
      </c>
      <c r="E7" s="97">
        <f>IFERROR(__xludf.DUMMYFUNCTION("IFNA(QUERY('1. Karten'!$A:$Q,""select count(A) where ("" &amp; IF($A$4=""*"",,""C="" &amp; $A$4 &amp; "" AND"") &amp; "" B LIKE '' AND J='"" &amp; E$1 &amp; ""') label Count(A) ''""),0)"),0.0)</f>
        <v>0</v>
      </c>
      <c r="F7" s="98">
        <f>IFERROR(__xludf.DUMMYFUNCTION("IFNA(QUERY('1. Karten'!$A:$Q,""select count(A) where ("" &amp; IF($A$4=""*"",,""C="" &amp; $A$4 &amp; "" AND"") &amp; "" B='"" &amp; $B7 &amp; ""' AND J='"" &amp; F$1 &amp; ""') label Count(A) ''""),0)"),0.0)</f>
        <v>0</v>
      </c>
      <c r="I7" s="101">
        <v>5.0</v>
      </c>
      <c r="J7" s="13">
        <f>IFERROR(__xludf.DUMMYFUNCTION("IFNA(QUERY('1. Karten'!$A:$Q,""select count(A) where (C="" &amp; $A$4 &amp; "") AND (H="" &amp; $I7 &amp; "") label Count(A) ''""),0)"),18.0)</f>
        <v>18</v>
      </c>
      <c r="K7" s="13">
        <f>IFERROR(__xludf.DUMMYFUNCTION("IFNA(QUERY('1. Karten'!$A:$Q,""select count(A) where (C="" &amp; $A$4 &amp; "") AND (Q="" &amp; $I7 &amp; "") label Count(A) ''""),0)"),28.0)</f>
        <v>28</v>
      </c>
    </row>
    <row r="8">
      <c r="B8" s="106" t="s">
        <v>1414</v>
      </c>
      <c r="C8" s="107">
        <f>IFERROR(__xludf.DUMMYFUNCTION("IFNA(QUERY('1. Karten'!$A:$Q,""select count(A) where ("" &amp; IF($A$4=""*"","""",""C="" &amp; $A$4 &amp; "" AND "") &amp; ""B LIKE '% %') label Count(A) ''""),0)"),30.0)</f>
        <v>30</v>
      </c>
      <c r="D8" s="107">
        <f>IFERROR(__xludf.DUMMYFUNCTION("IFNA(QUERY('1. Karten'!$A:$Q,""select count(A) where ("" &amp; IF($A$4=""*"",,""C="" &amp; $A$4 &amp; "" AND"") &amp; "" B LIKE '% %' AND J='"" &amp; D$1 &amp; ""') label Count(A) ''""),0)"),10.0)</f>
        <v>10</v>
      </c>
      <c r="E8" s="107">
        <f>IFERROR(__xludf.DUMMYFUNCTION("IFNA(QUERY('1. Karten'!$A:$Q,""select count(A) where ("" &amp; IF($A$4=""*"",,""C="" &amp; $A$4 &amp; "" AND"") &amp; "" B LIKE '% %' AND J='"" &amp; E$1 &amp; ""') label Count(A) ''""),0)"),10.0)</f>
        <v>10</v>
      </c>
      <c r="F8" s="108">
        <f>IFERROR(__xludf.DUMMYFUNCTION("IFNA(QUERY('1. Karten'!$A:$Q,""select count(A) where ("" &amp; IF($A$4=""*"",,""C="" &amp; $A$4 &amp; "" AND"") &amp; "" B LIKE '% %' AND J='"" &amp; F$1 &amp; ""') label Count(A) ''""),0)"),10.0)</f>
        <v>10</v>
      </c>
      <c r="I8" s="101">
        <v>6.0</v>
      </c>
      <c r="J8" s="13">
        <f>IFERROR(__xludf.DUMMYFUNCTION("IFNA(QUERY('1. Karten'!$A:$Q,""select count(A) where (C="" &amp; $A$4 &amp; "") AND (H="" &amp; $I8 &amp; "") label Count(A) ''""),0)"),14.0)</f>
        <v>14</v>
      </c>
      <c r="K8" s="13">
        <f>IFERROR(__xludf.DUMMYFUNCTION("IFNA(QUERY('1. Karten'!$A:$Q,""select count(A) where (C="" &amp; $A$4 &amp; "") AND (Q="" &amp; $I8 &amp; "") label Count(A) ''""),0)"),18.0)</f>
        <v>18</v>
      </c>
    </row>
    <row r="9">
      <c r="A9" s="109" t="s">
        <v>1415</v>
      </c>
      <c r="B9" s="110" t="s">
        <v>312</v>
      </c>
      <c r="C9" s="111">
        <f>IFERROR(__xludf.DUMMYFUNCTION("IFNA(QUERY('1. Karten'!$A:$Q,""select count(A) where ("" &amp; IF($A$4=""*"",,""C="" &amp; $A$4 &amp; "" AND"") &amp; "" B LIKE '%"" &amp; $B9 &amp; ""%') label Count(A) ''""),0)"),3.0)</f>
        <v>3</v>
      </c>
      <c r="D9" s="112">
        <f>IFERROR(__xludf.DUMMYFUNCTION("IFNA(QUERY('1. Karten'!$A:$Q,""select count(A) where ("" &amp; IF($A$4=""*"",,""C="" &amp; $A$4 &amp; "" AND"") &amp; "" B LIKE '%"" &amp; $B9 &amp; ""%' AND J='"" &amp; D$1 &amp; ""') label Count(A) ''""),0)"),1.0)</f>
        <v>1</v>
      </c>
      <c r="E9" s="112">
        <f>IFERROR(__xludf.DUMMYFUNCTION("IFNA(QUERY('1. Karten'!$A:$Q,""select count(A) where ("" &amp; IF($A$4=""*"",,""C="" &amp; $A$4 &amp; "" AND"") &amp; "" B LIKE '%"" &amp; $B9 &amp; ""%' AND J='"" &amp; E$1 &amp; ""') label Count(A) ''""),0)"),1.0)</f>
        <v>1</v>
      </c>
      <c r="F9" s="113">
        <f>IFERROR(__xludf.DUMMYFUNCTION("IFNA(QUERY('1. Karten'!$A:$Q,""select count(A) where ("" &amp; IF($A$4=""*"",,""C="" &amp; $A$4 &amp; "" AND"") &amp; "" B LIKE '%"" &amp; $B9 &amp; ""%' AND J='"" &amp; F$1 &amp; ""') label Count(A) ''""),0)"),1.0)</f>
        <v>1</v>
      </c>
      <c r="I9" s="101">
        <v>7.0</v>
      </c>
      <c r="J9" s="13">
        <f>IFERROR(__xludf.DUMMYFUNCTION("IFNA(QUERY('1. Karten'!$A:$Q,""select count(A) where (C="" &amp; $A$4 &amp; "") AND (H="" &amp; $I9 &amp; "") label Count(A) ''""),0)"),3.0)</f>
        <v>3</v>
      </c>
      <c r="K9" s="13">
        <f>IFERROR(__xludf.DUMMYFUNCTION("IFNA(QUERY('1. Karten'!$A:$Q,""select count(A) where (C="" &amp; $A$4 &amp; "") AND (Q="" &amp; $I9 &amp; "") label Count(A) ''""),0)"),7.0)</f>
        <v>7</v>
      </c>
    </row>
    <row r="10">
      <c r="A10" s="114" t="s">
        <v>1416</v>
      </c>
      <c r="B10" s="115" t="s">
        <v>1119</v>
      </c>
      <c r="C10" s="116">
        <f>IFERROR(__xludf.DUMMYFUNCTION("IFNA(QUERY('1. Karten'!$A:$Q,""select count(A) where ("" &amp; IF($A$4=""*"",,""C="" &amp; $A$4 &amp; "" AND"") &amp; "" B LIKE '%"" &amp; $B10 &amp; ""%') label Count(A) ''""),0)"),3.0)</f>
        <v>3</v>
      </c>
      <c r="D10" s="97">
        <f>IFERROR(__xludf.DUMMYFUNCTION("IFNA(QUERY('1. Karten'!$A:$Q,""select count(A) where ("" &amp; IF($A$4=""*"",,""C="" &amp; $A$4 &amp; "" AND"") &amp; "" B LIKE '%"" &amp; $B10 &amp; ""%' AND J='"" &amp; D$1 &amp; ""') label Count(A) ''""),0)"),1.0)</f>
        <v>1</v>
      </c>
      <c r="E10" s="97">
        <f>IFERROR(__xludf.DUMMYFUNCTION("IFNA(QUERY('1. Karten'!$A:$Q,""select count(A) where ("" &amp; IF($A$4=""*"",,""C="" &amp; $A$4 &amp; "" AND"") &amp; "" B LIKE '%"" &amp; $B10 &amp; ""%' AND J='"" &amp; E$1 &amp; ""') label Count(A) ''""),0)"),1.0)</f>
        <v>1</v>
      </c>
      <c r="F10" s="98">
        <f>IFERROR(__xludf.DUMMYFUNCTION("IFNA(QUERY('1. Karten'!$A:$Q,""select count(A) where ("" &amp; IF($A$4=""*"",,""C="" &amp; $A$4 &amp; "" AND"") &amp; "" B LIKE '%"" &amp; $B10 &amp; ""%' AND J='"" &amp; F$1 &amp; ""') label Count(A) ''""),0)"),1.0)</f>
        <v>1</v>
      </c>
      <c r="G10" s="104"/>
      <c r="H10" s="104"/>
      <c r="I10" s="101">
        <v>8.0</v>
      </c>
      <c r="J10" s="13">
        <f>IFERROR(__xludf.DUMMYFUNCTION("IFNA(QUERY('1. Karten'!$A:$Q,""select count(A) where (C="" &amp; $A$4 &amp; "") AND (H="" &amp; $I10 &amp; "") label Count(A) ''""),0)"),1.0)</f>
        <v>1</v>
      </c>
      <c r="K10" s="13">
        <f>IFERROR(__xludf.DUMMYFUNCTION("IFNA(QUERY('1. Karten'!$A:$Q,""select count(A) where (C="" &amp; $A$4 &amp; "") AND (Q="" &amp; $I10 &amp; "") label Count(A) ''""),0)"),0.0)</f>
        <v>0</v>
      </c>
    </row>
    <row r="11">
      <c r="A11" s="109" t="s">
        <v>1417</v>
      </c>
      <c r="B11" s="117" t="s">
        <v>661</v>
      </c>
      <c r="C11" s="116">
        <f>IFERROR(__xludf.DUMMYFUNCTION("IFNA(QUERY('1. Karten'!$A:$Q,""select count(A) where ("" &amp; IF($A$4=""*"",,""C="" &amp; $A$4 &amp; "" AND"") &amp; "" B LIKE '%"" &amp; $B11 &amp; ""%') label Count(A) ''""),0)"),3.0)</f>
        <v>3</v>
      </c>
      <c r="D11" s="97">
        <f>IFERROR(__xludf.DUMMYFUNCTION("IFNA(QUERY('1. Karten'!$A:$Q,""select count(A) where ("" &amp; IF($A$4=""*"",,""C="" &amp; $A$4 &amp; "" AND"") &amp; "" B LIKE '%"" &amp; $B11 &amp; ""%' AND J='"" &amp; D$1 &amp; ""') label Count(A) ''""),0)"),1.0)</f>
        <v>1</v>
      </c>
      <c r="E11" s="97">
        <f>IFERROR(__xludf.DUMMYFUNCTION("IFNA(QUERY('1. Karten'!$A:$Q,""select count(A) where ("" &amp; IF($A$4=""*"",,""C="" &amp; $A$4 &amp; "" AND"") &amp; "" B LIKE '%"" &amp; $B11 &amp; ""%' AND J='"" &amp; E$1 &amp; ""') label Count(A) ''""),0)"),1.0)</f>
        <v>1</v>
      </c>
      <c r="F11" s="98">
        <f>IFERROR(__xludf.DUMMYFUNCTION("IFNA(QUERY('1. Karten'!$A:$Q,""select count(A) where ("" &amp; IF($A$4=""*"",,""C="" &amp; $A$4 &amp; "" AND"") &amp; "" B LIKE '%"" &amp; $B11 &amp; ""%' AND J='"" &amp; F$1 &amp; ""') label Count(A) ''""),0)"),1.0)</f>
        <v>1</v>
      </c>
      <c r="I11" s="101">
        <v>9.0</v>
      </c>
      <c r="J11" s="13">
        <f>IFERROR(__xludf.DUMMYFUNCTION("IFNA(QUERY('1. Karten'!$A:$Q,""select count(A) where (C="" &amp; $A$4 &amp; "") AND (H="" &amp; $I11 &amp; "") label Count(A) ''""),0)"),2.0)</f>
        <v>2</v>
      </c>
      <c r="K11" s="13">
        <f>IFERROR(__xludf.DUMMYFUNCTION("IFNA(QUERY('1. Karten'!$A:$Q,""select count(A) where (C="" &amp; $A$4 &amp; "") AND (Q="" &amp; $I11 &amp; "") label Count(A) ''""),0)"),0.0)</f>
        <v>0</v>
      </c>
    </row>
    <row r="12">
      <c r="A12" s="114" t="s">
        <v>1418</v>
      </c>
      <c r="B12" s="115" t="s">
        <v>278</v>
      </c>
      <c r="C12" s="116">
        <f>IFERROR(__xludf.DUMMYFUNCTION("IFNA(QUERY('1. Karten'!$A:$Q,""select count(A) where ("" &amp; IF($A$4=""*"",,""C="" &amp; $A$4 &amp; "" AND"") &amp; "" B LIKE '%"" &amp; $B12 &amp; ""%') label Count(A) ''""),0)"),3.0)</f>
        <v>3</v>
      </c>
      <c r="D12" s="97">
        <f>IFERROR(__xludf.DUMMYFUNCTION("IFNA(QUERY('1. Karten'!$A:$Q,""select count(A) where ("" &amp; IF($A$4=""*"",,""C="" &amp; $A$4 &amp; "" AND"") &amp; "" B LIKE '%"" &amp; $B12 &amp; ""%' AND J='"" &amp; D$1 &amp; ""') label Count(A) ''""),0)"),1.0)</f>
        <v>1</v>
      </c>
      <c r="E12" s="97">
        <f>IFERROR(__xludf.DUMMYFUNCTION("IFNA(QUERY('1. Karten'!$A:$Q,""select count(A) where ("" &amp; IF($A$4=""*"",,""C="" &amp; $A$4 &amp; "" AND"") &amp; "" B LIKE '%"" &amp; $B12 &amp; ""%' AND J='"" &amp; E$1 &amp; ""') label Count(A) ''""),0)"),1.0)</f>
        <v>1</v>
      </c>
      <c r="F12" s="98">
        <f>IFERROR(__xludf.DUMMYFUNCTION("IFNA(QUERY('1. Karten'!$A:$Q,""select count(A) where ("" &amp; IF($A$4=""*"",,""C="" &amp; $A$4 &amp; "" AND"") &amp; "" B LIKE '%"" &amp; $B12 &amp; ""%' AND J='"" &amp; F$1 &amp; ""') label Count(A) ''""),0)"),1.0)</f>
        <v>1</v>
      </c>
      <c r="I12" s="101">
        <v>10.0</v>
      </c>
      <c r="J12" s="13">
        <f>IFERROR(__xludf.DUMMYFUNCTION("IFNA(QUERY('1. Karten'!$A:$Q,""select count(A) where (C="" &amp; $A$4 &amp; "") AND (H="" &amp; $I12 &amp; "") label Count(A) ''""),0)"),1.0)</f>
        <v>1</v>
      </c>
      <c r="K12" s="13">
        <f>IFERROR(__xludf.DUMMYFUNCTION("IFNA(QUERY('1. Karten'!$A:$Q,""select count(A) where (C="" &amp; $A$4 &amp; "") AND (Q="" &amp; $I12 &amp; "") label Count(A) ''""),0)"),0.0)</f>
        <v>0</v>
      </c>
    </row>
    <row r="13">
      <c r="A13" s="114" t="s">
        <v>1419</v>
      </c>
      <c r="B13" s="115" t="s">
        <v>694</v>
      </c>
      <c r="C13" s="116">
        <f>IFERROR(__xludf.DUMMYFUNCTION("IFNA(QUERY('1. Karten'!$A:$Q,""select count(A) where ("" &amp; IF($A$4=""*"",,""C="" &amp; $A$4 &amp; "" AND"") &amp; "" B LIKE '%"" &amp; $B13 &amp; ""%') label Count(A) ''""),0)"),3.0)</f>
        <v>3</v>
      </c>
      <c r="D13" s="97">
        <f>IFERROR(__xludf.DUMMYFUNCTION("IFNA(QUERY('1. Karten'!$A:$Q,""select count(A) where ("" &amp; IF($A$4=""*"",,""C="" &amp; $A$4 &amp; "" AND"") &amp; "" B LIKE '%"" &amp; $B13 &amp; ""%' AND J='"" &amp; D$1 &amp; ""') label Count(A) ''""),0)"),1.0)</f>
        <v>1</v>
      </c>
      <c r="E13" s="97">
        <f>IFERROR(__xludf.DUMMYFUNCTION("IFNA(QUERY('1. Karten'!$A:$Q,""select count(A) where ("" &amp; IF($A$4=""*"",,""C="" &amp; $A$4 &amp; "" AND"") &amp; "" B LIKE '%"" &amp; $B13 &amp; ""%' AND J='"" &amp; E$1 &amp; ""') label Count(A) ''""),0)"),1.0)</f>
        <v>1</v>
      </c>
      <c r="F13" s="98">
        <f>IFERROR(__xludf.DUMMYFUNCTION("IFNA(QUERY('1. Karten'!$A:$Q,""select count(A) where ("" &amp; IF($A$4=""*"",,""C="" &amp; $A$4 &amp; "" AND"") &amp; "" B LIKE '%"" &amp; $B13 &amp; ""%' AND J='"" &amp; F$1 &amp; ""') label Count(A) ''""),0)"),1.0)</f>
        <v>1</v>
      </c>
      <c r="I13" s="118" t="s">
        <v>1420</v>
      </c>
      <c r="J13" s="119">
        <f>ROUND(AVERAGE('1. Karten'!H:H),2)</f>
        <v>3.24</v>
      </c>
      <c r="K13" s="120">
        <f>ROUND(AVERAGE('1. Karten'!Q:Q),2)</f>
        <v>3.76</v>
      </c>
    </row>
    <row r="14">
      <c r="A14" s="114" t="s">
        <v>1421</v>
      </c>
      <c r="B14" s="115" t="s">
        <v>220</v>
      </c>
      <c r="C14" s="116">
        <f>IFERROR(__xludf.DUMMYFUNCTION("IFNA(QUERY('1. Karten'!$A:$Q,""select count(A) where ("" &amp; IF($A$4=""*"",,""C="" &amp; $A$4 &amp; "" AND"") &amp; "" B LIKE '%"" &amp; $B14 &amp; ""%') label Count(A) ''""),0)"),3.0)</f>
        <v>3</v>
      </c>
      <c r="D14" s="97">
        <f>IFERROR(__xludf.DUMMYFUNCTION("IFNA(QUERY('1. Karten'!$A:$Q,""select count(A) where ("" &amp; IF($A$4=""*"",,""C="" &amp; $A$4 &amp; "" AND"") &amp; "" B LIKE '%"" &amp; $B14 &amp; ""%' AND J='"" &amp; D$1 &amp; ""') label Count(A) ''""),0)"),1.0)</f>
        <v>1</v>
      </c>
      <c r="E14" s="97">
        <f>IFERROR(__xludf.DUMMYFUNCTION("IFNA(QUERY('1. Karten'!$A:$Q,""select count(A) where ("" &amp; IF($A$4=""*"",,""C="" &amp; $A$4 &amp; "" AND"") &amp; "" B LIKE '%"" &amp; $B14 &amp; ""%' AND J='"" &amp; E$1 &amp; ""') label Count(A) ''""),0)"),1.0)</f>
        <v>1</v>
      </c>
      <c r="F14" s="98">
        <f>IFERROR(__xludf.DUMMYFUNCTION("IFNA(QUERY('1. Karten'!$A:$Q,""select count(A) where ("" &amp; IF($A$4=""*"",,""C="" &amp; $A$4 &amp; "" AND"") &amp; "" B LIKE '%"" &amp; $B14 &amp; ""%' AND J='"" &amp; F$1 &amp; ""') label Count(A) ''""),0)"),1.0)</f>
        <v>1</v>
      </c>
    </row>
    <row r="15">
      <c r="A15" s="114" t="s">
        <v>1422</v>
      </c>
      <c r="B15" s="115" t="s">
        <v>187</v>
      </c>
      <c r="C15" s="116">
        <f>IFERROR(__xludf.DUMMYFUNCTION("IFNA(QUERY('1. Karten'!$A:$Q,""select count(A) where ("" &amp; IF($A$4=""*"",,""C="" &amp; $A$4 &amp; "" AND"") &amp; "" B LIKE '%"" &amp; $B15 &amp; ""%') label Count(A) ''""),0)"),3.0)</f>
        <v>3</v>
      </c>
      <c r="D15" s="97">
        <f>IFERROR(__xludf.DUMMYFUNCTION("IFNA(QUERY('1. Karten'!$A:$Q,""select count(A) where ("" &amp; IF($A$4=""*"",,""C="" &amp; $A$4 &amp; "" AND"") &amp; "" B LIKE '%"" &amp; $B15 &amp; ""%' AND J='"" &amp; D$1 &amp; ""') label Count(A) ''""),0)"),1.0)</f>
        <v>1</v>
      </c>
      <c r="E15" s="97">
        <f>IFERROR(__xludf.DUMMYFUNCTION("IFNA(QUERY('1. Karten'!$A:$Q,""select count(A) where ("" &amp; IF($A$4=""*"",,""C="" &amp; $A$4 &amp; "" AND"") &amp; "" B LIKE '%"" &amp; $B15 &amp; ""%' AND J='"" &amp; E$1 &amp; ""') label Count(A) ''""),0)"),1.0)</f>
        <v>1</v>
      </c>
      <c r="F15" s="98">
        <f>IFERROR(__xludf.DUMMYFUNCTION("IFNA(QUERY('1. Karten'!$A:$Q,""select count(A) where ("" &amp; IF($A$4=""*"",,""C="" &amp; $A$4 &amp; "" AND"") &amp; "" B LIKE '%"" &amp; $B15 &amp; ""%' AND J='"" &amp; F$1 &amp; ""') label Count(A) ''""),0)"),1.0)</f>
        <v>1</v>
      </c>
    </row>
    <row r="16">
      <c r="A16" s="114" t="s">
        <v>1423</v>
      </c>
      <c r="B16" s="115" t="s">
        <v>869</v>
      </c>
      <c r="C16" s="116">
        <f>IFERROR(__xludf.DUMMYFUNCTION("IFNA(QUERY('1. Karten'!$A:$Q,""select count(A) where ("" &amp; IF($A$4=""*"",,""C="" &amp; $A$4 &amp; "" AND"") &amp; "" B LIKE '%"" &amp; $B16 &amp; ""%') label Count(A) ''""),0)"),3.0)</f>
        <v>3</v>
      </c>
      <c r="D16" s="97">
        <f>IFERROR(__xludf.DUMMYFUNCTION("IFNA(QUERY('1. Karten'!$A:$Q,""select count(A) where ("" &amp; IF($A$4=""*"",,""C="" &amp; $A$4 &amp; "" AND"") &amp; "" B LIKE '%"" &amp; $B16 &amp; ""%' AND J='"" &amp; D$1 &amp; ""') label Count(A) ''""),0)"),1.0)</f>
        <v>1</v>
      </c>
      <c r="E16" s="97">
        <f>IFERROR(__xludf.DUMMYFUNCTION("IFNA(QUERY('1. Karten'!$A:$Q,""select count(A) where ("" &amp; IF($A$4=""*"",,""C="" &amp; $A$4 &amp; "" AND"") &amp; "" B LIKE '%"" &amp; $B16 &amp; ""%' AND J='"" &amp; E$1 &amp; ""') label Count(A) ''""),0)"),1.0)</f>
        <v>1</v>
      </c>
      <c r="F16" s="98">
        <f>IFERROR(__xludf.DUMMYFUNCTION("IFNA(QUERY('1. Karten'!$A:$Q,""select count(A) where ("" &amp; IF($A$4=""*"",,""C="" &amp; $A$4 &amp; "" AND"") &amp; "" B LIKE '%"" &amp; $B16 &amp; ""%' AND J='"" &amp; F$1 &amp; ""') label Count(A) ''""),0)"),1.0)</f>
        <v>1</v>
      </c>
    </row>
    <row r="17">
      <c r="A17" s="114" t="s">
        <v>1424</v>
      </c>
      <c r="B17" s="115" t="s">
        <v>671</v>
      </c>
      <c r="C17" s="116">
        <f>IFERROR(__xludf.DUMMYFUNCTION("IFNA(QUERY('1. Karten'!$A:$Q,""select count(A) where ("" &amp; IF($A$4=""*"",,""C="" &amp; $A$4 &amp; "" AND"") &amp; "" B LIKE '%"" &amp; $B17 &amp; ""%') label Count(A) ''""),0)"),3.0)</f>
        <v>3</v>
      </c>
      <c r="D17" s="97">
        <f>IFERROR(__xludf.DUMMYFUNCTION("IFNA(QUERY('1. Karten'!$A:$Q,""select count(A) where ("" &amp; IF($A$4=""*"",,""C="" &amp; $A$4 &amp; "" AND"") &amp; "" B LIKE '%"" &amp; $B17 &amp; ""%' AND J='"" &amp; D$1 &amp; ""') label Count(A) ''""),0)"),1.0)</f>
        <v>1</v>
      </c>
      <c r="E17" s="97">
        <f>IFERROR(__xludf.DUMMYFUNCTION("IFNA(QUERY('1. Karten'!$A:$Q,""select count(A) where ("" &amp; IF($A$4=""*"",,""C="" &amp; $A$4 &amp; "" AND"") &amp; "" B LIKE '%"" &amp; $B17 &amp; ""%' AND J='"" &amp; E$1 &amp; ""') label Count(A) ''""),0)"),1.0)</f>
        <v>1</v>
      </c>
      <c r="F17" s="98">
        <f>IFERROR(__xludf.DUMMYFUNCTION("IFNA(QUERY('1. Karten'!$A:$Q,""select count(A) where ("" &amp; IF($A$4=""*"",,""C="" &amp; $A$4 &amp; "" AND"") &amp; "" B LIKE '%"" &amp; $B17 &amp; ""%' AND J='"" &amp; F$1 &amp; ""') label Count(A) ''""),0)"),1.0)</f>
        <v>1</v>
      </c>
    </row>
    <row r="18">
      <c r="A18" s="114" t="s">
        <v>1425</v>
      </c>
      <c r="B18" s="121" t="s">
        <v>913</v>
      </c>
      <c r="C18" s="122">
        <f>IFERROR(__xludf.DUMMYFUNCTION("IFNA(QUERY('1. Karten'!$A:$Q,""select count(A) where ("" &amp; IF($A$4=""*"",,""C="" &amp; $A$4 &amp; "" AND"") &amp; "" B LIKE '%"" &amp; $B18 &amp; ""%') label Count(A) ''""),0)"),3.0)</f>
        <v>3</v>
      </c>
      <c r="D18" s="107">
        <f>IFERROR(__xludf.DUMMYFUNCTION("IFNA(QUERY('1. Karten'!$A:$Q,""select count(A) where ("" &amp; IF($A$4=""*"",,""C="" &amp; $A$4 &amp; "" AND"") &amp; "" B LIKE '%"" &amp; $B18 &amp; ""%' AND J='"" &amp; D$1 &amp; ""') label Count(A) ''""),0)"),1.0)</f>
        <v>1</v>
      </c>
      <c r="E18" s="107">
        <f>IFERROR(__xludf.DUMMYFUNCTION("IFNA(QUERY('1. Karten'!$A:$Q,""select count(A) where ("" &amp; IF($A$4=""*"",,""C="" &amp; $A$4 &amp; "" AND"") &amp; "" B LIKE '%"" &amp; $B18 &amp; ""%' AND J='"" &amp; E$1 &amp; ""') label Count(A) ''""),0)"),1.0)</f>
        <v>1</v>
      </c>
      <c r="F18" s="108">
        <f>IFERROR(__xludf.DUMMYFUNCTION("IFNA(QUERY('1. Karten'!$A:$Q,""select count(A) where ("" &amp; IF($A$4=""*"",,""C="" &amp; $A$4 &amp; "" AND"") &amp; "" B LIKE '%"" &amp; $B18 &amp; ""%' AND J='"" &amp; F$1 &amp; ""') label Count(A) ''""),0)"),1.0)</f>
        <v>1</v>
      </c>
    </row>
    <row r="19">
      <c r="A19" s="105" t="s">
        <v>1426</v>
      </c>
      <c r="B19" s="123"/>
      <c r="C19" s="124">
        <f>IFERROR(__xludf.DUMMYFUNCTION("IFNA(QUERY('1. Karten'!$A:$Q,""select count(A) where (C="" &amp; $A$4 &amp; "") label Count(A) ''""),0)"),170.0)</f>
        <v>170</v>
      </c>
      <c r="D19" s="124">
        <f>IFERROR(__xludf.DUMMYFUNCTION("IFNA(QUERY('1. Karten'!$A:$Q,""select count(A) where (C="" &amp; $A$4 &amp; "" AND J='"" &amp; D$1 &amp; ""') label Count(A) ''""),0)"),86.0)</f>
        <v>86</v>
      </c>
      <c r="E19" s="124">
        <f>IFERROR(__xludf.DUMMYFUNCTION("IFNA(QUERY('1. Karten'!$A:$Q,""select count(A) where (C="" &amp; $A$4 &amp; "" AND J='"" &amp; E$1 &amp; ""') label Count(A) ''""),0)"),52.0)</f>
        <v>52</v>
      </c>
      <c r="F19" s="124">
        <f>IFERROR(__xludf.DUMMYFUNCTION("IFNA(QUERY('1. Karten'!$A:$Q,""select count(A) where (C="" &amp; $A$4 &amp; "" AND J='"" &amp; F$1 &amp; ""') label Count(A) ''""),0)"),32.0)</f>
        <v>32</v>
      </c>
    </row>
    <row r="20">
      <c r="A20" s="125">
        <f>3*$D$19 + 2*$E$19 + $F$19</f>
        <v>394</v>
      </c>
      <c r="C20" s="126">
        <v>1.0</v>
      </c>
      <c r="D20" s="127" t="str">
        <f t="shared" ref="D20:F20" si="1">ROUND(D$19/$C$19*100,2) &amp; "%"</f>
        <v>50,59%</v>
      </c>
      <c r="E20" s="127" t="str">
        <f t="shared" si="1"/>
        <v>30,59%</v>
      </c>
      <c r="F20" s="127" t="str">
        <f t="shared" si="1"/>
        <v>18,82%</v>
      </c>
      <c r="I20" s="128" t="s">
        <v>1427</v>
      </c>
      <c r="J20" s="129" t="s">
        <v>1428</v>
      </c>
      <c r="K20" s="130" t="s">
        <v>1429</v>
      </c>
      <c r="L20" s="131" t="s">
        <v>1430</v>
      </c>
      <c r="M20" s="132" t="s">
        <v>1431</v>
      </c>
      <c r="N20" s="133" t="s">
        <v>1432</v>
      </c>
    </row>
    <row r="21">
      <c r="A21" s="105" t="s">
        <v>1433</v>
      </c>
      <c r="B21" s="134" t="s">
        <v>42</v>
      </c>
      <c r="C21" s="134" t="s">
        <v>50</v>
      </c>
      <c r="D21" s="134" t="s">
        <v>33</v>
      </c>
      <c r="E21" s="135" t="s">
        <v>1434</v>
      </c>
      <c r="F21" s="134" t="s">
        <v>1435</v>
      </c>
      <c r="H21" s="136" t="str">
        <f>IFERROR(__xludf.DUMMYFUNCTION("QUERY(UNIQUE(FLATTEN(MAP(UNIQUE(IFNA(QUERY('1. Karten'!$A$2:$Q1000,""select D where (C="" &amp; $A$4 &amp; "")"")),""""),LAMBDA(x,(SPLIT(x,"" "")))))),""SELECT * WHERE (Col1 IS NOT NULL) AND (Col1 matches '^\w+$')"")"),"Angel")</f>
        <v>Angel</v>
      </c>
      <c r="I21" s="137">
        <f>IFERROR(__xludf.DUMMYFUNCTION("IFNA(QUERY('1. Karten'!$A:$Q,""select count(A) where (C="" &amp; $A$4 &amp; "" AND D LIKE '%"" &amp; $H21 &amp; ""%') label Count(A) ''""),0)"),18.0)</f>
        <v>18</v>
      </c>
      <c r="J21" s="138">
        <f>IFERROR(__xludf.DUMMYFUNCTION("IFNA(QUERY('1. Karten'!$A:$Q,""select count(A) where (C="" &amp; $A$4 &amp; "" AND D LIKE '%"" &amp; $H21 &amp; ""%' AND B LIKE '%"" &amp; REGEXEXTRACT(J$20,""[^#\s]+"") &amp; ""%') label Count(A) ''""),0)"),15.0)</f>
        <v>15</v>
      </c>
      <c r="K21" s="138">
        <f>IFERROR(__xludf.DUMMYFUNCTION("IFNA(QUERY('1. Karten'!$A:$Q,""select count(A) where (C="" &amp; $A$4 &amp; "" AND D LIKE '%"" &amp; $H21 &amp; ""%' AND B LIKE '%"" &amp; REGEXEXTRACT(K$20,""[^#\s]+"") &amp; ""%') label Count(A) ''""),0)"),1.0)</f>
        <v>1</v>
      </c>
      <c r="L21" s="138">
        <f>IFERROR(__xludf.DUMMYFUNCTION("IFNA(QUERY('1. Karten'!$A:$Q,""select count(A) where (C="" &amp; $A$4 &amp; "" AND D LIKE '%"" &amp; $H21 &amp; ""%' AND B LIKE '%"" &amp; REGEXEXTRACT(L$20,""[^#\s]+"") &amp; ""%') label Count(A) ''""),0)"),2.0)</f>
        <v>2</v>
      </c>
      <c r="M21" s="138">
        <f>IFERROR(__xludf.DUMMYFUNCTION("IFNA(QUERY('1. Karten'!$A:$Q,""select count(A) where (C="" &amp; $A$4 &amp; "" AND D LIKE '%"" &amp; $H21 &amp; ""%' AND B LIKE '%"" &amp; REGEXEXTRACT(M$20,""[^#\s]+"") &amp; ""%') label Count(A) ''""),0)"),1.0)</f>
        <v>1</v>
      </c>
      <c r="N21" s="138">
        <f>IFERROR(__xludf.DUMMYFUNCTION("IFNA(QUERY('1. Karten'!$A:$Q,""select count(A) where (C="" &amp; $A$4 &amp; "" AND D LIKE '%"" &amp; $H21 &amp; ""%' AND B LIKE '%"" &amp; REGEXEXTRACT(N$20,""[^#\s]+"") &amp; ""%') label Count(A) ''""),0)"),4.0)</f>
        <v>4</v>
      </c>
    </row>
    <row r="22">
      <c r="A22" s="139" t="s">
        <v>15</v>
      </c>
      <c r="B22" s="97">
        <f>IFERROR(__xludf.DUMMYFUNCTION("IFNA(QUERY('1. Karten'!$A:$Q,""select count(A) where (C="" &amp; $A$4 &amp; "" AND F LIKE '%"" &amp; $A22 &amp; ""%' AND J='"" &amp; B$21 &amp; ""') label Count(A) ''""),0)"),3.0)</f>
        <v>3</v>
      </c>
      <c r="C22" s="97">
        <f>IFERROR(__xludf.DUMMYFUNCTION("IFNA(QUERY('1. Karten'!$A:$Q,""select count(A) where (C="" &amp; $A$4 &amp; "" AND F LIKE '%"" &amp; $A22 &amp; ""%' AND J='"" &amp; C$21 &amp; ""') label Count(A) ''""),0)"),1.0)</f>
        <v>1</v>
      </c>
      <c r="D22" s="97">
        <f>IFERROR(__xludf.DUMMYFUNCTION("IFNA(QUERY('1. Karten'!$A:$Q,""select count(A) where (C="" &amp; $A$4 &amp; "" AND F LIKE '%"" &amp; $A22 &amp; ""%' AND J='"" &amp; D$21 &amp; ""') label Count(A) ''""),0)"),1.0)</f>
        <v>1</v>
      </c>
      <c r="E22" s="140">
        <f t="shared" ref="E22:E34" si="2">SUM($B22:$D22)</f>
        <v>5</v>
      </c>
      <c r="F22" s="141">
        <f t="shared" ref="F22:F34" si="3">($E22/$A$2)</f>
        <v>0.02941176471</v>
      </c>
      <c r="H22" s="142" t="str">
        <f>IFERROR(__xludf.DUMMYFUNCTION("""COMPUTED_VALUE"""),"Animal")</f>
        <v>Animal</v>
      </c>
      <c r="I22" s="137">
        <f>IFERROR(__xludf.DUMMYFUNCTION("IFNA(QUERY('1. Karten'!$A:$Q,""select count(A) where (C="" &amp; $A$4 &amp; "" AND D LIKE '%"" &amp; $H22 &amp; ""%') label Count(A) ''""),0)"),33.0)</f>
        <v>33</v>
      </c>
      <c r="J22" s="138">
        <f>IFERROR(__xludf.DUMMYFUNCTION("IFNA(QUERY('1. Karten'!$A:$Q,""select count(A) where (C="" &amp; $A$4 &amp; "" AND D LIKE '%"" &amp; $H22 &amp; ""%' AND B LIKE '%"" &amp; REGEXEXTRACT(J$20,""[^#\s]+"") &amp; ""%') label Count(A) ''""),0)"),11.0)</f>
        <v>11</v>
      </c>
      <c r="K22" s="138">
        <f>IFERROR(__xludf.DUMMYFUNCTION("IFNA(QUERY('1. Karten'!$A:$Q,""select count(A) where (C="" &amp; $A$4 &amp; "" AND D LIKE '%"" &amp; $H22 &amp; ""%' AND B LIKE '%"" &amp; REGEXEXTRACT(K$20,""[^#\s]+"") &amp; ""%') label Count(A) ''""),0)"),12.0)</f>
        <v>12</v>
      </c>
      <c r="L22" s="138">
        <f>IFERROR(__xludf.DUMMYFUNCTION("IFNA(QUERY('1. Karten'!$A:$Q,""select count(A) where (C="" &amp; $A$4 &amp; "" AND D LIKE '%"" &amp; $H22 &amp; ""%' AND B LIKE '%"" &amp; REGEXEXTRACT(L$20,""[^#\s]+"") &amp; ""%') label Count(A) ''""),0)"),4.0)</f>
        <v>4</v>
      </c>
      <c r="M22" s="138">
        <f>IFERROR(__xludf.DUMMYFUNCTION("IFNA(QUERY('1. Karten'!$A:$Q,""select count(A) where (C="" &amp; $A$4 &amp; "" AND D LIKE '%"" &amp; $H22 &amp; ""%' AND B LIKE '%"" &amp; REGEXEXTRACT(M$20,""[^#\s]+"") &amp; ""%') label Count(A) ''""),0)"),9.0)</f>
        <v>9</v>
      </c>
      <c r="N22" s="138">
        <f>IFERROR(__xludf.DUMMYFUNCTION("IFNA(QUERY('1. Karten'!$A:$Q,""select count(A) where (C="" &amp; $A$4 &amp; "" AND D LIKE '%"" &amp; $H22 &amp; ""%' AND B LIKE '%"" &amp; REGEXEXTRACT(N$20,""[^#\s]+"") &amp; ""%') label Count(A) ''""),0)"),5.0)</f>
        <v>5</v>
      </c>
    </row>
    <row r="23">
      <c r="A23" s="139" t="s">
        <v>11</v>
      </c>
      <c r="B23" s="97">
        <f>IFERROR(__xludf.DUMMYFUNCTION("IFNA(QUERY('1. Karten'!$A:$Q,""select count(A) where (C="" &amp; $A$4 &amp; "" AND F LIKE '%"" &amp; $A23 &amp; ""%' AND J='"" &amp; B$21 &amp; ""') label Count(A) ''""),0)"),2.0)</f>
        <v>2</v>
      </c>
      <c r="C23" s="97">
        <f>IFERROR(__xludf.DUMMYFUNCTION("IFNA(QUERY('1. Karten'!$A:$Q,""select count(A) where (C="" &amp; $A$4 &amp; "" AND F LIKE '%"" &amp; $A23 &amp; ""%' AND J='"" &amp; C$21 &amp; ""') label Count(A) ''""),0)"),1.0)</f>
        <v>1</v>
      </c>
      <c r="D23" s="97">
        <f>IFERROR(__xludf.DUMMYFUNCTION("IFNA(QUERY('1. Karten'!$A:$Q,""select count(A) where (C="" &amp; $A$4 &amp; "" AND F LIKE '%"" &amp; $A23 &amp; ""%' AND J='"" &amp; D$21 &amp; ""') label Count(A) ''""),0)"),1.0)</f>
        <v>1</v>
      </c>
      <c r="E23" s="140">
        <f t="shared" si="2"/>
        <v>4</v>
      </c>
      <c r="F23" s="141">
        <f t="shared" si="3"/>
        <v>0.02352941176</v>
      </c>
      <c r="H23" s="142" t="str">
        <f>IFERROR(__xludf.DUMMYFUNCTION("""COMPUTED_VALUE"""),"Construct")</f>
        <v>Construct</v>
      </c>
      <c r="I23" s="137">
        <f>IFERROR(__xludf.DUMMYFUNCTION("IFNA(QUERY('1. Karten'!$A:$Q,""select count(A) where (C="" &amp; $A$4 &amp; "" AND D LIKE '%"" &amp; $H23 &amp; ""%') label Count(A) ''""),0)"),26.0)</f>
        <v>26</v>
      </c>
      <c r="J23" s="138">
        <f>IFERROR(__xludf.DUMMYFUNCTION("IFNA(QUERY('1. Karten'!$A:$Q,""select count(A) where (C="" &amp; $A$4 &amp; "" AND D LIKE '%"" &amp; $H23 &amp; ""%' AND B LIKE '%"" &amp; REGEXEXTRACT(J$20,""[^#\s]+"") &amp; ""%') label Count(A) ''""),0)"),14.0)</f>
        <v>14</v>
      </c>
      <c r="K23" s="138">
        <f>IFERROR(__xludf.DUMMYFUNCTION("IFNA(QUERY('1. Karten'!$A:$Q,""select count(A) where (C="" &amp; $A$4 &amp; "" AND D LIKE '%"" &amp; $H23 &amp; ""%' AND B LIKE '%"" &amp; REGEXEXTRACT(K$20,""[^#\s]+"") &amp; ""%') label Count(A) ''""),0)"),2.0)</f>
        <v>2</v>
      </c>
      <c r="L23" s="138">
        <f>IFERROR(__xludf.DUMMYFUNCTION("IFNA(QUERY('1. Karten'!$A:$Q,""select count(A) where (C="" &amp; $A$4 &amp; "" AND D LIKE '%"" &amp; $H23 &amp; ""%' AND B LIKE '%"" &amp; REGEXEXTRACT(L$20,""[^#\s]+"") &amp; ""%') label Count(A) ''""),0)"),1.0)</f>
        <v>1</v>
      </c>
      <c r="M23" s="138">
        <f>IFERROR(__xludf.DUMMYFUNCTION("IFNA(QUERY('1. Karten'!$A:$Q,""select count(A) where (C="" &amp; $A$4 &amp; "" AND D LIKE '%"" &amp; $H23 &amp; ""%' AND B LIKE '%"" &amp; REGEXEXTRACT(M$20,""[^#\s]+"") &amp; ""%') label Count(A) ''""),0)"),6.0)</f>
        <v>6</v>
      </c>
      <c r="N23" s="138">
        <f>IFERROR(__xludf.DUMMYFUNCTION("IFNA(QUERY('1. Karten'!$A:$Q,""select count(A) where (C="" &amp; $A$4 &amp; "" AND D LIKE '%"" &amp; $H23 &amp; ""%' AND B LIKE '%"" &amp; REGEXEXTRACT(N$20,""[^#\s]+"") &amp; ""%') label Count(A) ''""),0)"),2.0)</f>
        <v>2</v>
      </c>
    </row>
    <row r="24">
      <c r="A24" s="139" t="s">
        <v>14</v>
      </c>
      <c r="B24" s="97">
        <f>IFERROR(__xludf.DUMMYFUNCTION("IFNA(QUERY('1. Karten'!$A:$Q,""select count(A) where (C="" &amp; $A$4 &amp; "" AND F LIKE '%"" &amp; $A24 &amp; ""%' AND J='"" &amp; B$21 &amp; ""') label Count(A) ''""),0)"),2.0)</f>
        <v>2</v>
      </c>
      <c r="C24" s="97">
        <f>IFERROR(__xludf.DUMMYFUNCTION("IFNA(QUERY('1. Karten'!$A:$Q,""select count(A) where (C="" &amp; $A$4 &amp; "" AND F LIKE '%"" &amp; $A24 &amp; ""%' AND J='"" &amp; C$21 &amp; ""') label Count(A) ''""),0)"),2.0)</f>
        <v>2</v>
      </c>
      <c r="D24" s="97">
        <f>IFERROR(__xludf.DUMMYFUNCTION("IFNA(QUERY('1. Karten'!$A:$Q,""select count(A) where (C="" &amp; $A$4 &amp; "" AND F LIKE '%"" &amp; $A24 &amp; ""%' AND J='"" &amp; D$21 &amp; ""') label Count(A) ''""),0)"),1.0)</f>
        <v>1</v>
      </c>
      <c r="E24" s="140">
        <f t="shared" si="2"/>
        <v>5</v>
      </c>
      <c r="F24" s="141">
        <f t="shared" si="3"/>
        <v>0.02941176471</v>
      </c>
      <c r="H24" s="142" t="str">
        <f>IFERROR(__xludf.DUMMYFUNCTION("""COMPUTED_VALUE"""),"Hunter")</f>
        <v>Hunter</v>
      </c>
      <c r="I24" s="137">
        <f>IFERROR(__xludf.DUMMYFUNCTION("IFNA(QUERY('1. Karten'!$A:$Q,""select count(A) where (C="" &amp; $A$4 &amp; "" AND D LIKE '%"" &amp; $H24 &amp; ""%') label Count(A) ''""),0)"),20.0)</f>
        <v>20</v>
      </c>
      <c r="J24" s="138">
        <f>IFERROR(__xludf.DUMMYFUNCTION("IFNA(QUERY('1. Karten'!$A:$Q,""select count(A) where (C="" &amp; $A$4 &amp; "" AND D LIKE '%"" &amp; $H24 &amp; ""%' AND B LIKE '%"" &amp; REGEXEXTRACT(J$20,""[^#\s]+"") &amp; ""%') label Count(A) ''""),0)"),2.0)</f>
        <v>2</v>
      </c>
      <c r="K24" s="138">
        <f>IFERROR(__xludf.DUMMYFUNCTION("IFNA(QUERY('1. Karten'!$A:$Q,""select count(A) where (C="" &amp; $A$4 &amp; "" AND D LIKE '%"" &amp; $H24 &amp; ""%' AND B LIKE '%"" &amp; REGEXEXTRACT(K$20,""[^#\s]+"") &amp; ""%') label Count(A) ''""),0)"),8.0)</f>
        <v>8</v>
      </c>
      <c r="L24" s="138">
        <f>IFERROR(__xludf.DUMMYFUNCTION("IFNA(QUERY('1. Karten'!$A:$Q,""select count(A) where (C="" &amp; $A$4 &amp; "" AND D LIKE '%"" &amp; $H24 &amp; ""%' AND B LIKE '%"" &amp; REGEXEXTRACT(L$20,""[^#\s]+"") &amp; ""%') label Count(A) ''""),0)"),3.0)</f>
        <v>3</v>
      </c>
      <c r="M24" s="138">
        <f>IFERROR(__xludf.DUMMYFUNCTION("IFNA(QUERY('1. Karten'!$A:$Q,""select count(A) where (C="" &amp; $A$4 &amp; "" AND D LIKE '%"" &amp; $H24 &amp; ""%' AND B LIKE '%"" &amp; REGEXEXTRACT(M$20,""[^#\s]+"") &amp; ""%') label Count(A) ''""),0)"),6.0)</f>
        <v>6</v>
      </c>
      <c r="N24" s="138">
        <f>IFERROR(__xludf.DUMMYFUNCTION("IFNA(QUERY('1. Karten'!$A:$Q,""select count(A) where (C="" &amp; $A$4 &amp; "" AND D LIKE '%"" &amp; $H24 &amp; ""%' AND B LIKE '%"" &amp; REGEXEXTRACT(N$20,""[^#\s]+"") &amp; ""%') label Count(A) ''""),0)"),3.0)</f>
        <v>3</v>
      </c>
    </row>
    <row r="25">
      <c r="A25" s="139" t="s">
        <v>12</v>
      </c>
      <c r="B25" s="97">
        <f>IFERROR(__xludf.DUMMYFUNCTION("IFNA(QUERY('1. Karten'!$A:$Q,""select count(A) where (C="" &amp; $A$4 &amp; "" AND F LIKE '%"" &amp; $A25 &amp; ""%' AND J='"" &amp; B$21 &amp; ""') label Count(A) ''""),0)"),2.0)</f>
        <v>2</v>
      </c>
      <c r="C25" s="97">
        <f>IFERROR(__xludf.DUMMYFUNCTION("IFNA(QUERY('1. Karten'!$A:$Q,""select count(A) where (C="" &amp; $A$4 &amp; "" AND F LIKE '%"" &amp; $A25 &amp; ""%' AND J='"" &amp; C$21 &amp; ""') label Count(A) ''""),0)"),1.0)</f>
        <v>1</v>
      </c>
      <c r="D25" s="97">
        <f>IFERROR(__xludf.DUMMYFUNCTION("IFNA(QUERY('1. Karten'!$A:$Q,""select count(A) where (C="" &amp; $A$4 &amp; "" AND F LIKE '%"" &amp; $A25 &amp; ""%' AND J='"" &amp; D$21 &amp; ""') label Count(A) ''""),0)"),1.0)</f>
        <v>1</v>
      </c>
      <c r="E25" s="140">
        <f t="shared" si="2"/>
        <v>4</v>
      </c>
      <c r="F25" s="141">
        <f t="shared" si="3"/>
        <v>0.02352941176</v>
      </c>
      <c r="H25" s="142" t="str">
        <f>IFERROR(__xludf.DUMMYFUNCTION("""COMPUTED_VALUE"""),"Plant")</f>
        <v>Plant</v>
      </c>
      <c r="I25" s="137">
        <f>IFERROR(__xludf.DUMMYFUNCTION("IFNA(QUERY('1. Karten'!$A:$Q,""select count(A) where (C="" &amp; $A$4 &amp; "" AND D LIKE '%"" &amp; $H25 &amp; ""%') label Count(A) ''""),0)"),16.0)</f>
        <v>16</v>
      </c>
      <c r="J25" s="138">
        <f>IFERROR(__xludf.DUMMYFUNCTION("IFNA(QUERY('1. Karten'!$A:$Q,""select count(A) where (C="" &amp; $A$4 &amp; "" AND D LIKE '%"" &amp; $H25 &amp; ""%' AND B LIKE '%"" &amp; REGEXEXTRACT(J$20,""[^#\s]+"") &amp; ""%') label Count(A) ''""),0)"),1.0)</f>
        <v>1</v>
      </c>
      <c r="K25" s="138">
        <f>IFERROR(__xludf.DUMMYFUNCTION("IFNA(QUERY('1. Karten'!$A:$Q,""select count(A) where (C="" &amp; $A$4 &amp; "" AND D LIKE '%"" &amp; $H25 &amp; ""%' AND B LIKE '%"" &amp; REGEXEXTRACT(K$20,""[^#\s]+"") &amp; ""%') label Count(A) ''""),0)"),12.0)</f>
        <v>12</v>
      </c>
      <c r="L25" s="138">
        <f>IFERROR(__xludf.DUMMYFUNCTION("IFNA(QUERY('1. Karten'!$A:$Q,""select count(A) where (C="" &amp; $A$4 &amp; "" AND D LIKE '%"" &amp; $H25 &amp; ""%' AND B LIKE '%"" &amp; REGEXEXTRACT(L$20,""[^#\s]+"") &amp; ""%') label Count(A) ''""),0)"),1.0)</f>
        <v>1</v>
      </c>
      <c r="M25" s="138">
        <f>IFERROR(__xludf.DUMMYFUNCTION("IFNA(QUERY('1. Karten'!$A:$Q,""select count(A) where (C="" &amp; $A$4 &amp; "" AND D LIKE '%"" &amp; $H25 &amp; ""%' AND B LIKE '%"" &amp; REGEXEXTRACT(M$20,""[^#\s]+"") &amp; ""%') label Count(A) ''""),0)"),1.0)</f>
        <v>1</v>
      </c>
      <c r="N25" s="138">
        <f>IFERROR(__xludf.DUMMYFUNCTION("IFNA(QUERY('1. Karten'!$A:$Q,""select count(A) where (C="" &amp; $A$4 &amp; "" AND D LIKE '%"" &amp; $H25 &amp; ""%' AND B LIKE '%"" &amp; REGEXEXTRACT(N$20,""[^#\s]+"") &amp; ""%') label Count(A) ''""),0)"),3.0)</f>
        <v>3</v>
      </c>
    </row>
    <row r="26">
      <c r="A26" s="139" t="s">
        <v>13</v>
      </c>
      <c r="B26" s="97">
        <f>IFERROR(__xludf.DUMMYFUNCTION("IFNA(QUERY('1. Karten'!$A:$Q,""select count(A) where (C="" &amp; $A$4 &amp; "" AND F LIKE '%"" &amp; $A26 &amp; ""%' AND J='"" &amp; B$21 &amp; ""') label Count(A) ''""),0)"),5.0)</f>
        <v>5</v>
      </c>
      <c r="C26" s="97">
        <f>IFERROR(__xludf.DUMMYFUNCTION("IFNA(QUERY('1. Karten'!$A:$Q,""select count(A) where (C="" &amp; $A$4 &amp; "" AND F LIKE '%"" &amp; $A26 &amp; ""%' AND J='"" &amp; C$21 &amp; ""') label Count(A) ''""),0)"),1.0)</f>
        <v>1</v>
      </c>
      <c r="D26" s="97">
        <f>IFERROR(__xludf.DUMMYFUNCTION("IFNA(QUERY('1. Karten'!$A:$Q,""select count(A) where (C="" &amp; $A$4 &amp; "" AND F LIKE '%"" &amp; $A26 &amp; ""%' AND J='"" &amp; D$21 &amp; ""') label Count(A) ''""),0)"),1.0)</f>
        <v>1</v>
      </c>
      <c r="E26" s="140">
        <f t="shared" si="2"/>
        <v>7</v>
      </c>
      <c r="F26" s="141">
        <f t="shared" si="3"/>
        <v>0.04117647059</v>
      </c>
      <c r="H26" s="142" t="str">
        <f>IFERROR(__xludf.DUMMYFUNCTION("""COMPUTED_VALUE"""),"Spirit")</f>
        <v>Spirit</v>
      </c>
      <c r="I26" s="137">
        <f>IFERROR(__xludf.DUMMYFUNCTION("IFNA(QUERY('1. Karten'!$A:$Q,""select count(A) where (C="" &amp; $A$4 &amp; "" AND D LIKE '%"" &amp; $H26 &amp; ""%') label Count(A) ''""),0)"),22.0)</f>
        <v>22</v>
      </c>
      <c r="J26" s="138">
        <f>IFERROR(__xludf.DUMMYFUNCTION("IFNA(QUERY('1. Karten'!$A:$Q,""select count(A) where (C="" &amp; $A$4 &amp; "" AND D LIKE '%"" &amp; $H26 &amp; ""%' AND B LIKE '%"" &amp; REGEXEXTRACT(J$20,""[^#\s]+"") &amp; ""%') label Count(A) ''""),0)"),5.0)</f>
        <v>5</v>
      </c>
      <c r="K26" s="138">
        <f>IFERROR(__xludf.DUMMYFUNCTION("IFNA(QUERY('1. Karten'!$A:$Q,""select count(A) where (C="" &amp; $A$4 &amp; "" AND D LIKE '%"" &amp; $H26 &amp; ""%' AND B LIKE '%"" &amp; REGEXEXTRACT(K$20,""[^#\s]+"") &amp; ""%') label Count(A) ''""),0)"),5.0)</f>
        <v>5</v>
      </c>
      <c r="L26" s="138">
        <f>IFERROR(__xludf.DUMMYFUNCTION("IFNA(QUERY('1. Karten'!$A:$Q,""select count(A) where (C="" &amp; $A$4 &amp; "" AND D LIKE '%"" &amp; $H26 &amp; ""%' AND B LIKE '%"" &amp; REGEXEXTRACT(L$20,""[^#\s]+"") &amp; ""%') label Count(A) ''""),0)"),13.0)</f>
        <v>13</v>
      </c>
      <c r="M26" s="138">
        <f>IFERROR(__xludf.DUMMYFUNCTION("IFNA(QUERY('1. Karten'!$A:$Q,""select count(A) where (C="" &amp; $A$4 &amp; "" AND D LIKE '%"" &amp; $H26 &amp; ""%' AND B LIKE '%"" &amp; REGEXEXTRACT(M$20,""[^#\s]+"") &amp; ""%') label Count(A) ''""),0)"),1.0)</f>
        <v>1</v>
      </c>
      <c r="N26" s="138">
        <f>IFERROR(__xludf.DUMMYFUNCTION("IFNA(QUERY('1. Karten'!$A:$Q,""select count(A) where (C="" &amp; $A$4 &amp; "" AND D LIKE '%"" &amp; $H26 &amp; ""%' AND B LIKE '%"" &amp; REGEXEXTRACT(N$20,""[^#\s]+"") &amp; ""%') label Count(A) ''""),0)"),2.0)</f>
        <v>2</v>
      </c>
    </row>
    <row r="27">
      <c r="A27" s="143" t="s">
        <v>1436</v>
      </c>
      <c r="B27" s="97">
        <f>IFERROR(__xludf.DUMMYFUNCTION("IFNA(QUERY('1. Karten'!$A:$Q,""select count(A) where (C="" &amp; $A$4 &amp; "" AND F LIKE '%"" &amp; $A27 &amp; ""%' AND J='"" &amp; B$21 &amp; ""') label Count(A) ''""),0)"),11.0)</f>
        <v>11</v>
      </c>
      <c r="C27" s="97">
        <f>IFERROR(__xludf.DUMMYFUNCTION("IFNA(QUERY('1. Karten'!$A:$Q,""select count(A) where (C="" &amp; $A$4 &amp; "" AND F LIKE '%"" &amp; $A27 &amp; ""%' AND J='"" &amp; C$21 &amp; ""') label Count(A) ''""),0)"),12.0)</f>
        <v>12</v>
      </c>
      <c r="D27" s="97">
        <f>IFERROR(__xludf.DUMMYFUNCTION("IFNA(QUERY('1. Karten'!$A:$Q,""select count(A) where (C="" &amp; $A$4 &amp; "" AND F LIKE '%"" &amp; $A27 &amp; ""%' AND J='"" &amp; D$21 &amp; ""') label Count(A) ''""),0)"),3.0)</f>
        <v>3</v>
      </c>
      <c r="E27" s="140">
        <f t="shared" si="2"/>
        <v>26</v>
      </c>
      <c r="F27" s="144">
        <f t="shared" si="3"/>
        <v>0.1529411765</v>
      </c>
      <c r="H27" s="142" t="str">
        <f>IFERROR(__xludf.DUMMYFUNCTION("""COMPUTED_VALUE"""),"Warrior")</f>
        <v>Warrior</v>
      </c>
      <c r="I27" s="137">
        <f>IFERROR(__xludf.DUMMYFUNCTION("IFNA(QUERY('1. Karten'!$A:$Q,""select count(A) where (C="" &amp; $A$4 &amp; "" AND D LIKE '%"" &amp; $H27 &amp; ""%') label Count(A) ''""),0)"),20.0)</f>
        <v>20</v>
      </c>
      <c r="J27" s="138">
        <f>IFERROR(__xludf.DUMMYFUNCTION("IFNA(QUERY('1. Karten'!$A:$Q,""select count(A) where (C="" &amp; $A$4 &amp; "" AND D LIKE '%"" &amp; $H27 &amp; ""%' AND B LIKE '%"" &amp; REGEXEXTRACT(J$20,""[^#\s]+"") &amp; ""%') label Count(A) ''""),0)"),7.0)</f>
        <v>7</v>
      </c>
      <c r="K27" s="138">
        <f>IFERROR(__xludf.DUMMYFUNCTION("IFNA(QUERY('1. Karten'!$A:$Q,""select count(A) where (C="" &amp; $A$4 &amp; "" AND D LIKE '%"" &amp; $H27 &amp; ""%' AND B LIKE '%"" &amp; REGEXEXTRACT(K$20,""[^#\s]+"") &amp; ""%') label Count(A) ''""),0)"),1.0)</f>
        <v>1</v>
      </c>
      <c r="L27" s="138">
        <f>IFERROR(__xludf.DUMMYFUNCTION("IFNA(QUERY('1. Karten'!$A:$Q,""select count(A) where (C="" &amp; $A$4 &amp; "" AND D LIKE '%"" &amp; $H27 &amp; ""%' AND B LIKE '%"" &amp; REGEXEXTRACT(L$20,""[^#\s]+"") &amp; ""%') label Count(A) ''""),0)"),4.0)</f>
        <v>4</v>
      </c>
      <c r="M27" s="138">
        <f>IFERROR(__xludf.DUMMYFUNCTION("IFNA(QUERY('1. Karten'!$A:$Q,""select count(A) where (C="" &amp; $A$4 &amp; "" AND D LIKE '%"" &amp; $H27 &amp; ""%' AND B LIKE '%"" &amp; REGEXEXTRACT(M$20,""[^#\s]+"") &amp; ""%') label Count(A) ''""),0)"),11.0)</f>
        <v>11</v>
      </c>
      <c r="N27" s="138">
        <f>IFERROR(__xludf.DUMMYFUNCTION("IFNA(QUERY('1. Karten'!$A:$Q,""select count(A) where (C="" &amp; $A$4 &amp; "" AND D LIKE '%"" &amp; $H27 &amp; ""%' AND B LIKE '%"" &amp; REGEXEXTRACT(N$20,""[^#\s]+"") &amp; ""%') label Count(A) ''""),0)"),3.0)</f>
        <v>3</v>
      </c>
    </row>
    <row r="28">
      <c r="A28" s="145" t="s">
        <v>1437</v>
      </c>
      <c r="B28" s="97">
        <f>IFERROR(__xludf.DUMMYFUNCTION("IFNA(QUERY('1. Karten'!$A:$Q,""select count(A) where (C="" &amp; $A$4 &amp; "" AND F LIKE '%"" &amp; $A28 &amp; ""%' AND J='"" &amp; B$21 &amp; ""') label Count(A) ''""),0)"),10.0)</f>
        <v>10</v>
      </c>
      <c r="C28" s="97">
        <f>IFERROR(__xludf.DUMMYFUNCTION("IFNA(QUERY('1. Karten'!$A:$Q,""select count(A) where (C="" &amp; $A$4 &amp; "" AND F LIKE '%"" &amp; $A28 &amp; ""%' AND J='"" &amp; C$21 &amp; ""') label Count(A) ''""),0)"),10.0)</f>
        <v>10</v>
      </c>
      <c r="D28" s="97">
        <f>IFERROR(__xludf.DUMMYFUNCTION("IFNA(QUERY('1. Karten'!$A:$Q,""select count(A) where (C="" &amp; $A$4 &amp; "" AND F LIKE '%"" &amp; $A28 &amp; ""%' AND J='"" &amp; D$21 &amp; ""') label Count(A) ''""),0)"),8.0)</f>
        <v>8</v>
      </c>
      <c r="E28" s="146">
        <f t="shared" si="2"/>
        <v>28</v>
      </c>
      <c r="F28" s="147">
        <f t="shared" si="3"/>
        <v>0.1647058824</v>
      </c>
      <c r="H28" s="142" t="str">
        <f>IFERROR(__xludf.DUMMYFUNCTION("""COMPUTED_VALUE"""),"Wizard")</f>
        <v>Wizard</v>
      </c>
      <c r="I28" s="137">
        <f>IFERROR(__xludf.DUMMYFUNCTION("IFNA(QUERY('1. Karten'!$A:$Q,""select count(A) where (C="" &amp; $A$4 &amp; "" AND D LIKE '%"" &amp; $H28 &amp; ""%') label Count(A) ''""),0)"),19.0)</f>
        <v>19</v>
      </c>
      <c r="J28" s="138">
        <f>IFERROR(__xludf.DUMMYFUNCTION("IFNA(QUERY('1. Karten'!$A:$Q,""select count(A) where (C="" &amp; $A$4 &amp; "" AND D LIKE '%"" &amp; $H28 &amp; ""%' AND B LIKE '%"" &amp; REGEXEXTRACT(J$20,""[^#\s]+"") &amp; ""%') label Count(A) ''""),0)"),4.0)</f>
        <v>4</v>
      </c>
      <c r="K28" s="138">
        <f>IFERROR(__xludf.DUMMYFUNCTION("IFNA(QUERY('1. Karten'!$A:$Q,""select count(A) where (C="" &amp; $A$4 &amp; "" AND D LIKE '%"" &amp; $H28 &amp; ""%' AND B LIKE '%"" &amp; REGEXEXTRACT(K$20,""[^#\s]+"") &amp; ""%') label Count(A) ''""),0)"),3.0)</f>
        <v>3</v>
      </c>
      <c r="L28" s="138">
        <f>IFERROR(__xludf.DUMMYFUNCTION("IFNA(QUERY('1. Karten'!$A:$Q,""select count(A) where (C="" &amp; $A$4 &amp; "" AND D LIKE '%"" &amp; $H28 &amp; ""%' AND B LIKE '%"" &amp; REGEXEXTRACT(L$20,""[^#\s]+"") &amp; ""%') label Count(A) ''""),0)"),8.0)</f>
        <v>8</v>
      </c>
      <c r="M28" s="138">
        <f>IFERROR(__xludf.DUMMYFUNCTION("IFNA(QUERY('1. Karten'!$A:$Q,""select count(A) where (C="" &amp; $A$4 &amp; "" AND D LIKE '%"" &amp; $H28 &amp; ""%' AND B LIKE '%"" &amp; REGEXEXTRACT(M$20,""[^#\s]+"") &amp; ""%') label Count(A) ''""),0)"),4.0)</f>
        <v>4</v>
      </c>
      <c r="N28" s="138">
        <f>IFERROR(__xludf.DUMMYFUNCTION("IFNA(QUERY('1. Karten'!$A:$Q,""select count(A) where (C="" &amp; $A$4 &amp; "" AND D LIKE '%"" &amp; $H28 &amp; ""%' AND B LIKE '%"" &amp; REGEXEXTRACT(N$20,""[^#\s]+"") &amp; ""%') label Count(A) ''""),0)"),5.0)</f>
        <v>5</v>
      </c>
    </row>
    <row r="29">
      <c r="A29" s="148" t="s">
        <v>1438</v>
      </c>
      <c r="B29" s="97">
        <f>IFERROR(__xludf.DUMMYFUNCTION("IFNA(QUERY('1. Karten'!$A:$Q,""select count(A) where (C="" &amp; $A$4 &amp; "" AND F LIKE '%"" &amp; $A29 &amp; ""%' AND J='"" &amp; B$21 &amp; ""') label Count(A) ''""),0)"),2.0)</f>
        <v>2</v>
      </c>
      <c r="C29" s="97">
        <f>IFERROR(__xludf.DUMMYFUNCTION("IFNA(QUERY('1. Karten'!$A:$Q,""select count(A) where (C="" &amp; $A$4 &amp; "" AND F LIKE '%"" &amp; $A29 &amp; ""%' AND J='"" &amp; C$21 &amp; ""') label Count(A) ''""),0)"),14.0)</f>
        <v>14</v>
      </c>
      <c r="D29" s="97">
        <f>IFERROR(__xludf.DUMMYFUNCTION("IFNA(QUERY('1. Karten'!$A:$Q,""select count(A) where (C="" &amp; $A$4 &amp; "" AND F LIKE '%"" &amp; $A29 &amp; ""%' AND J='"" &amp; D$21 &amp; ""') label Count(A) ''""),0)"),6.0)</f>
        <v>6</v>
      </c>
      <c r="E29" s="149">
        <f t="shared" si="2"/>
        <v>22</v>
      </c>
      <c r="F29" s="150">
        <f t="shared" si="3"/>
        <v>0.1294117647</v>
      </c>
      <c r="H29" s="142" t="str">
        <f>IFERROR(__xludf.DUMMYFUNCTION("""COMPUTED_VALUE"""),"Undead")</f>
        <v>Undead</v>
      </c>
      <c r="I29" s="137">
        <f>IFERROR(__xludf.DUMMYFUNCTION("IFNA(QUERY('1. Karten'!$A:$Q,""select count(A) where (C="" &amp; $A$4 &amp; "" AND D LIKE '%"" &amp; $H29 &amp; ""%') label Count(A) ''""),0)"),19.0)</f>
        <v>19</v>
      </c>
      <c r="J29" s="138">
        <f>IFERROR(__xludf.DUMMYFUNCTION("IFNA(QUERY('1. Karten'!$A:$Q,""select count(A) where (C="" &amp; $A$4 &amp; "" AND D LIKE '%"" &amp; $H29 &amp; ""%' AND B LIKE '%"" &amp; REGEXEXTRACT(J$20,""[^#\s]+"") &amp; ""%') label Count(A) ''""),0)"),4.0)</f>
        <v>4</v>
      </c>
      <c r="K29" s="138">
        <f>IFERROR(__xludf.DUMMYFUNCTION("IFNA(QUERY('1. Karten'!$A:$Q,""select count(A) where (C="" &amp; $A$4 &amp; "" AND D LIKE '%"" &amp; $H29 &amp; ""%' AND B LIKE '%"" &amp; REGEXEXTRACT(K$20,""[^#\s]+"") &amp; ""%') label Count(A) ''""),0)"),1.0)</f>
        <v>1</v>
      </c>
      <c r="L29" s="138">
        <f>IFERROR(__xludf.DUMMYFUNCTION("IFNA(QUERY('1. Karten'!$A:$Q,""select count(A) where (C="" &amp; $A$4 &amp; "" AND D LIKE '%"" &amp; $H29 &amp; ""%' AND B LIKE '%"" &amp; REGEXEXTRACT(L$20,""[^#\s]+"") &amp; ""%') label Count(A) ''""),0)"),2.0)</f>
        <v>2</v>
      </c>
      <c r="M29" s="138">
        <f>IFERROR(__xludf.DUMMYFUNCTION("IFNA(QUERY('1. Karten'!$A:$Q,""select count(A) where (C="" &amp; $A$4 &amp; "" AND D LIKE '%"" &amp; $H29 &amp; ""%' AND B LIKE '%"" &amp; REGEXEXTRACT(M$20,""[^#\s]+"") &amp; ""%') label Count(A) ''""),0)"),2.0)</f>
        <v>2</v>
      </c>
      <c r="N29" s="138">
        <f>IFERROR(__xludf.DUMMYFUNCTION("IFNA(QUERY('1. Karten'!$A:$Q,""select count(A) where (C="" &amp; $A$4 &amp; "" AND D LIKE '%"" &amp; $H29 &amp; ""%' AND B LIKE '%"" &amp; REGEXEXTRACT(N$20,""[^#\s]+"") &amp; ""%') label Count(A) ''""),0)"),15.0)</f>
        <v>15</v>
      </c>
    </row>
    <row r="30">
      <c r="A30" s="139" t="s">
        <v>1439</v>
      </c>
      <c r="B30" s="97">
        <f>IFERROR(__xludf.DUMMYFUNCTION("IFNA(QUERY('1. Karten'!$A:$Q,""select count(A) where (C="" &amp; $A$4 &amp; "" AND F LIKE '%"" &amp; $A30 &amp; ""%' AND J='"" &amp; B$21 &amp; ""') label Count(A) ''""),0)"),1.0)</f>
        <v>1</v>
      </c>
      <c r="C30" s="97">
        <f>IFERROR(__xludf.DUMMYFUNCTION("IFNA(QUERY('1. Karten'!$A:$Q,""select count(A) where (C="" &amp; $A$4 &amp; "" AND F LIKE '%"" &amp; $A30 &amp; ""%' AND J='"" &amp; C$21 &amp; ""') label Count(A) ''""),0)"),5.0)</f>
        <v>5</v>
      </c>
      <c r="D30" s="97">
        <f>IFERROR(__xludf.DUMMYFUNCTION("IFNA(QUERY('1. Karten'!$A:$Q,""select count(A) where (C="" &amp; $A$4 &amp; "" AND F LIKE '%"" &amp; $A30 &amp; ""%' AND J='"" &amp; D$21 &amp; ""') label Count(A) ''""),0)"),2.0)</f>
        <v>2</v>
      </c>
      <c r="E30" s="140">
        <f t="shared" si="2"/>
        <v>8</v>
      </c>
      <c r="F30" s="141">
        <f t="shared" si="3"/>
        <v>0.04705882353</v>
      </c>
      <c r="H30" s="142" t="str">
        <f>IFERROR(__xludf.DUMMYFUNCTION("""COMPUTED_VALUE"""),"Dragon")</f>
        <v>Dragon</v>
      </c>
      <c r="I30" s="137">
        <f>IFERROR(__xludf.DUMMYFUNCTION("IFNA(QUERY('1. Karten'!$A:$Q,""select count(A) where (C="" &amp; $A$4 &amp; "" AND D LIKE '%"" &amp; $H30 &amp; ""%') label Count(A) ''""),0)"),19.0)</f>
        <v>19</v>
      </c>
      <c r="J30" s="138">
        <f>IFERROR(__xludf.DUMMYFUNCTION("IFNA(QUERY('1. Karten'!$A:$Q,""select count(A) where (C="" &amp; $A$4 &amp; "" AND D LIKE '%"" &amp; $H30 &amp; ""%' AND B LIKE '%"" &amp; REGEXEXTRACT(J$20,""[^#\s]+"") &amp; ""%') label Count(A) ''""),0)"),2.0)</f>
        <v>2</v>
      </c>
      <c r="K30" s="138">
        <f>IFERROR(__xludf.DUMMYFUNCTION("IFNA(QUERY('1. Karten'!$A:$Q,""select count(A) where (C="" &amp; $A$4 &amp; "" AND D LIKE '%"" &amp; $H30 &amp; ""%' AND B LIKE '%"" &amp; REGEXEXTRACT(K$20,""[^#\s]+"") &amp; ""%') label Count(A) ''""),0)"),3.0)</f>
        <v>3</v>
      </c>
      <c r="L30" s="138">
        <f>IFERROR(__xludf.DUMMYFUNCTION("IFNA(QUERY('1. Karten'!$A:$Q,""select count(A) where (C="" &amp; $A$4 &amp; "" AND D LIKE '%"" &amp; $H30 &amp; ""%' AND B LIKE '%"" &amp; REGEXEXTRACT(L$20,""[^#\s]+"") &amp; ""%') label Count(A) ''""),0)"),15.0)</f>
        <v>15</v>
      </c>
      <c r="M30" s="138">
        <f>IFERROR(__xludf.DUMMYFUNCTION("IFNA(QUERY('1. Karten'!$A:$Q,""select count(A) where (C="" &amp; $A$4 &amp; "" AND D LIKE '%"" &amp; $H30 &amp; ""%' AND B LIKE '%"" &amp; REGEXEXTRACT(M$20,""[^#\s]+"") &amp; ""%') label Count(A) ''""),0)"),3.0)</f>
        <v>3</v>
      </c>
      <c r="N30" s="138">
        <f>IFERROR(__xludf.DUMMYFUNCTION("IFNA(QUERY('1. Karten'!$A:$Q,""select count(A) where (C="" &amp; $A$4 &amp; "" AND D LIKE '%"" &amp; $H30 &amp; ""%' AND B LIKE '%"" &amp; REGEXEXTRACT(N$20,""[^#\s]+"") &amp; ""%') label Count(A) ''""),0)"),1.0)</f>
        <v>1</v>
      </c>
    </row>
    <row r="31">
      <c r="A31" s="151" t="s">
        <v>1440</v>
      </c>
      <c r="B31" s="97">
        <f>IFERROR(__xludf.DUMMYFUNCTION("IFNA(QUERY('1. Karten'!$A:$Q,""select count(A) where (C="" &amp; $A$4 &amp; "" AND F LIKE '%"" &amp; $A31 &amp; ""%' AND J='"" &amp; B$21 &amp; ""') label Count(A) ''""),0)"),2.0)</f>
        <v>2</v>
      </c>
      <c r="C31" s="97">
        <f>IFERROR(__xludf.DUMMYFUNCTION("IFNA(QUERY('1. Karten'!$A:$Q,""select count(A) where (C="" &amp; $A$4 &amp; "" AND F LIKE '%"" &amp; $A31 &amp; ""%' AND J='"" &amp; C$21 &amp; ""') label Count(A) ''""),0)"),5.0)</f>
        <v>5</v>
      </c>
      <c r="D31" s="97">
        <f>IFERROR(__xludf.DUMMYFUNCTION("IFNA(QUERY('1. Karten'!$A:$Q,""select count(A) where (C="" &amp; $A$4 &amp; "" AND F LIKE '%"" &amp; $A31 &amp; ""%' AND J='"" &amp; D$21 &amp; ""') label Count(A) ''""),0)"),3.0)</f>
        <v>3</v>
      </c>
      <c r="E31" s="152">
        <f t="shared" si="2"/>
        <v>10</v>
      </c>
      <c r="F31" s="153">
        <f t="shared" si="3"/>
        <v>0.05882352941</v>
      </c>
      <c r="H31" s="142" t="str">
        <f>IFERROR(__xludf.DUMMYFUNCTION("""COMPUTED_VALUE"""),"Human")</f>
        <v>Human</v>
      </c>
      <c r="I31" s="137">
        <f>IFERROR(__xludf.DUMMYFUNCTION("IFNA(QUERY('1. Karten'!$A:$Q,""select count(A) where (C="" &amp; $A$4 &amp; "" AND D LIKE '%"" &amp; $H31 &amp; ""%') label Count(A) ''""),0)"),26.0)</f>
        <v>26</v>
      </c>
      <c r="J31" s="138">
        <f>IFERROR(__xludf.DUMMYFUNCTION("IFNA(QUERY('1. Karten'!$A:$Q,""select count(A) where (C="" &amp; $A$4 &amp; "" AND D LIKE '%"" &amp; $H31 &amp; ""%' AND B LIKE '%"" &amp; REGEXEXTRACT(J$20,""[^#\s]+"") &amp; ""%') label Count(A) ''""),0)"),2.0)</f>
        <v>2</v>
      </c>
      <c r="K31" s="138">
        <f>IFERROR(__xludf.DUMMYFUNCTION("IFNA(QUERY('1. Karten'!$A:$Q,""select count(A) where (C="" &amp; $A$4 &amp; "" AND D LIKE '%"" &amp; $H31 &amp; ""%' AND B LIKE '%"" &amp; REGEXEXTRACT(K$20,""[^#\s]+"") &amp; ""%') label Count(A) ''""),0)"),1.0)</f>
        <v>1</v>
      </c>
      <c r="L31" s="138">
        <f>IFERROR(__xludf.DUMMYFUNCTION("IFNA(QUERY('1. Karten'!$A:$Q,""select count(A) where (C="" &amp; $A$4 &amp; "" AND D LIKE '%"" &amp; $H31 &amp; ""%' AND B LIKE '%"" &amp; REGEXEXTRACT(L$20,""[^#\s]+"") &amp; ""%') label Count(A) ''""),0)"),9.0)</f>
        <v>9</v>
      </c>
      <c r="M31" s="138">
        <f>IFERROR(__xludf.DUMMYFUNCTION("IFNA(QUERY('1. Karten'!$A:$Q,""select count(A) where (C="" &amp; $A$4 &amp; "" AND D LIKE '%"" &amp; $H31 &amp; ""%' AND B LIKE '%"" &amp; REGEXEXTRACT(M$20,""[^#\s]+"") &amp; ""%') label Count(A) ''""),0)"),17.0)</f>
        <v>17</v>
      </c>
      <c r="N31" s="138">
        <f>IFERROR(__xludf.DUMMYFUNCTION("IFNA(QUERY('1. Karten'!$A:$Q,""select count(A) where (C="" &amp; $A$4 &amp; "" AND D LIKE '%"" &amp; $H31 &amp; ""%' AND B LIKE '%"" &amp; REGEXEXTRACT(N$20,""[^#\s]+"") &amp; ""%') label Count(A) ''""),0)"),3.0)</f>
        <v>3</v>
      </c>
    </row>
    <row r="32">
      <c r="A32" s="139" t="s">
        <v>40</v>
      </c>
      <c r="B32" s="97">
        <f>IFERROR(__xludf.DUMMYFUNCTION("IFNA(QUERY('1. Karten'!$A:$Q,""select count(A) where (C="" &amp; $A$4 &amp; "" AND F LIKE '%"" &amp; $A32 &amp; ""%' AND J='"" &amp; B$21 &amp; ""') label Count(A) ''""),0)"),0.0)</f>
        <v>0</v>
      </c>
      <c r="C32" s="97">
        <f>IFERROR(__xludf.DUMMYFUNCTION("IFNA(QUERY('1. Karten'!$A:$Q,""select count(A) where (C="" &amp; $A$4 &amp; "" AND F LIKE '%"" &amp; $A32 &amp; ""%' AND J='"" &amp; C$21 &amp; ""') label Count(A) ''""),0)"),0.0)</f>
        <v>0</v>
      </c>
      <c r="D32" s="97">
        <f>IFERROR(__xludf.DUMMYFUNCTION("IFNA(QUERY('1. Karten'!$A:$Q,""select count(A) where (C="" &amp; $A$4 &amp; "" AND F LIKE '%"" &amp; $A32 &amp; ""%' AND J='"" &amp; D$21 &amp; ""') label Count(A) ''""),0)"),0.0)</f>
        <v>0</v>
      </c>
      <c r="E32" s="140">
        <f t="shared" si="2"/>
        <v>0</v>
      </c>
      <c r="F32" s="141">
        <f t="shared" si="3"/>
        <v>0</v>
      </c>
      <c r="H32" s="142" t="str">
        <f>IFERROR(__xludf.DUMMYFUNCTION("""COMPUTED_VALUE"""),"Insect")</f>
        <v>Insect</v>
      </c>
      <c r="I32" s="137">
        <f>IFERROR(__xludf.DUMMYFUNCTION("IFNA(QUERY('1. Karten'!$A:$Q,""select count(A) where (C="" &amp; $A$4 &amp; "" AND D LIKE '%"" &amp; $H32 &amp; ""%') label Count(A) ''""),0)"),11.0)</f>
        <v>11</v>
      </c>
      <c r="J32" s="138">
        <f>IFERROR(__xludf.DUMMYFUNCTION("IFNA(QUERY('1. Karten'!$A:$Q,""select count(A) where (C="" &amp; $A$4 &amp; "" AND D LIKE '%"" &amp; $H32 &amp; ""%' AND B LIKE '%"" &amp; REGEXEXTRACT(J$20,""[^#\s]+"") &amp; ""%') label Count(A) ''""),0)"),1.0)</f>
        <v>1</v>
      </c>
      <c r="K32" s="138">
        <f>IFERROR(__xludf.DUMMYFUNCTION("IFNA(QUERY('1. Karten'!$A:$Q,""select count(A) where (C="" &amp; $A$4 &amp; "" AND D LIKE '%"" &amp; $H32 &amp; ""%' AND B LIKE '%"" &amp; REGEXEXTRACT(K$20,""[^#\s]+"") &amp; ""%') label Count(A) ''""),0)"),4.0)</f>
        <v>4</v>
      </c>
      <c r="L32" s="138">
        <f>IFERROR(__xludf.DUMMYFUNCTION("IFNA(QUERY('1. Karten'!$A:$Q,""select count(A) where (C="" &amp; $A$4 &amp; "" AND D LIKE '%"" &amp; $H32 &amp; ""%' AND B LIKE '%"" &amp; REGEXEXTRACT(L$20,""[^#\s]+"") &amp; ""%') label Count(A) ''""),0)"),2.0)</f>
        <v>2</v>
      </c>
      <c r="M32" s="138">
        <f>IFERROR(__xludf.DUMMYFUNCTION("IFNA(QUERY('1. Karten'!$A:$Q,""select count(A) where (C="" &amp; $A$4 &amp; "" AND D LIKE '%"" &amp; $H32 &amp; ""%' AND B LIKE '%"" &amp; REGEXEXTRACT(M$20,""[^#\s]+"") &amp; ""%') label Count(A) ''""),0)"),1.0)</f>
        <v>1</v>
      </c>
      <c r="N32" s="138">
        <f>IFERROR(__xludf.DUMMYFUNCTION("IFNA(QUERY('1. Karten'!$A:$Q,""select count(A) where (C="" &amp; $A$4 &amp; "" AND D LIKE '%"" &amp; $H32 &amp; ""%' AND B LIKE '%"" &amp; REGEXEXTRACT(N$20,""[^#\s]+"") &amp; ""%') label Count(A) ''""),0)"),4.0)</f>
        <v>4</v>
      </c>
    </row>
    <row r="33">
      <c r="A33" s="139" t="s">
        <v>1441</v>
      </c>
      <c r="B33" s="97">
        <f>IFERROR(__xludf.DUMMYFUNCTION("IFNA(QUERY('1. Karten'!$A:$Q,""select count(A) where (C="" &amp; $A$4 &amp; "" AND F LIKE '%"" &amp; $A33 &amp; ""%' AND J='"" &amp; B$21 &amp; ""') label Count(A) ''""),0)"),0.0)</f>
        <v>0</v>
      </c>
      <c r="C33" s="97">
        <f>IFERROR(__xludf.DUMMYFUNCTION("IFNA(QUERY('1. Karten'!$A:$Q,""select count(A) where (C="" &amp; $A$4 &amp; "" AND F LIKE '%"" &amp; $A33 &amp; ""%' AND J='"" &amp; C$21 &amp; ""') label Count(A) ''""),0)"),3.0)</f>
        <v>3</v>
      </c>
      <c r="D33" s="97">
        <f>IFERROR(__xludf.DUMMYFUNCTION("IFNA(QUERY('1. Karten'!$A:$Q,""select count(A) where (C="" &amp; $A$4 &amp; "" AND F LIKE '%"" &amp; $A33 &amp; ""%' AND J='"" &amp; D$21 &amp; ""') label Count(A) ''""),0)"),1.0)</f>
        <v>1</v>
      </c>
      <c r="E33" s="140">
        <f t="shared" si="2"/>
        <v>4</v>
      </c>
      <c r="F33" s="141">
        <f t="shared" si="3"/>
        <v>0.02352941176</v>
      </c>
      <c r="H33" s="142" t="str">
        <f>IFERROR(__xludf.DUMMYFUNCTION("""COMPUTED_VALUE"""),"Bannerbearer")</f>
        <v>Bannerbearer</v>
      </c>
      <c r="I33" s="137">
        <f>IFERROR(__xludf.DUMMYFUNCTION("IFNA(QUERY('1. Karten'!$A:$Q,""select count(A) where (C="" &amp; $A$4 &amp; "" AND D LIKE '%"" &amp; $H33 &amp; ""%') label Count(A) ''""),0)"),10.0)</f>
        <v>10</v>
      </c>
      <c r="J33" s="138">
        <f>IFERROR(__xludf.DUMMYFUNCTION("IFNA(QUERY('1. Karten'!$A:$Q,""select count(A) where (C="" &amp; $A$4 &amp; "" AND D LIKE '%"" &amp; $H33 &amp; ""%' AND B LIKE '%"" &amp; REGEXEXTRACT(J$20,""[^#\s]+"") &amp; ""%') label Count(A) ''""),0)"),4.0)</f>
        <v>4</v>
      </c>
      <c r="K33" s="138">
        <f>IFERROR(__xludf.DUMMYFUNCTION("IFNA(QUERY('1. Karten'!$A:$Q,""select count(A) where (C="" &amp; $A$4 &amp; "" AND D LIKE '%"" &amp; $H33 &amp; ""%' AND B LIKE '%"" &amp; REGEXEXTRACT(K$20,""[^#\s]+"") &amp; ""%') label Count(A) ''""),0)"),4.0)</f>
        <v>4</v>
      </c>
      <c r="L33" s="138">
        <f>IFERROR(__xludf.DUMMYFUNCTION("IFNA(QUERY('1. Karten'!$A:$Q,""select count(A) where (C="" &amp; $A$4 &amp; "" AND D LIKE '%"" &amp; $H33 &amp; ""%' AND B LIKE '%"" &amp; REGEXEXTRACT(L$20,""[^#\s]+"") &amp; ""%') label Count(A) ''""),0)"),4.0)</f>
        <v>4</v>
      </c>
      <c r="M33" s="138">
        <f>IFERROR(__xludf.DUMMYFUNCTION("IFNA(QUERY('1. Karten'!$A:$Q,""select count(A) where (C="" &amp; $A$4 &amp; "" AND D LIKE '%"" &amp; $H33 &amp; ""%' AND B LIKE '%"" &amp; REGEXEXTRACT(M$20,""[^#\s]+"") &amp; ""%') label Count(A) ''""),0)"),4.0)</f>
        <v>4</v>
      </c>
      <c r="N33" s="138">
        <f>IFERROR(__xludf.DUMMYFUNCTION("IFNA(QUERY('1. Karten'!$A:$Q,""select count(A) where (C="" &amp; $A$4 &amp; "" AND D LIKE '%"" &amp; $H33 &amp; ""%' AND B LIKE '%"" &amp; REGEXEXTRACT(N$20,""[^#\s]+"") &amp; ""%') label Count(A) ''""),0)"),4.0)</f>
        <v>4</v>
      </c>
    </row>
    <row r="34">
      <c r="A34" s="139" t="s">
        <v>1442</v>
      </c>
      <c r="B34" s="97">
        <f>IFERROR(__xludf.DUMMYFUNCTION("IFNA(QUERY('1. Karten'!$A:$Q,""select count(A) where (C="" &amp; $A$4 &amp; "" AND F LIKE '%"" &amp; $A34 &amp; ""%' AND J='"" &amp; B$21 &amp; ""') label Count(A) ''""),0)"),6.0)</f>
        <v>6</v>
      </c>
      <c r="C34" s="97">
        <f>IFERROR(__xludf.DUMMYFUNCTION("IFNA(QUERY('1. Karten'!$A:$Q,""select count(A) where (C="" &amp; $A$4 &amp; "" AND F LIKE '%"" &amp; $A34 &amp; ""%' AND J='"" &amp; C$21 &amp; ""') label Count(A) ''""),0)"),3.0)</f>
        <v>3</v>
      </c>
      <c r="D34" s="97">
        <f>IFERROR(__xludf.DUMMYFUNCTION("IFNA(QUERY('1. Karten'!$A:$Q,""select count(A) where (C="" &amp; $A$4 &amp; "" AND F LIKE '%"" &amp; $A34 &amp; ""%' AND J='"" &amp; D$21 &amp; ""') label Count(A) ''""),0)"),0.0)</f>
        <v>0</v>
      </c>
      <c r="E34" s="146">
        <f t="shared" si="2"/>
        <v>9</v>
      </c>
      <c r="F34" s="141">
        <f t="shared" si="3"/>
        <v>0.05294117647</v>
      </c>
      <c r="H34" s="142" t="str">
        <f>IFERROR(__xludf.DUMMYFUNCTION("""COMPUTED_VALUE"""),"Dinosaur")</f>
        <v>Dinosaur</v>
      </c>
      <c r="I34" s="137">
        <f>IFERROR(__xludf.DUMMYFUNCTION("IFNA(QUERY('1. Karten'!$A:$Q,""select count(A) where (C="" &amp; $A$4 &amp; "" AND D LIKE '%"" &amp; $H34 &amp; ""%') label Count(A) ''""),0)"),18.0)</f>
        <v>18</v>
      </c>
      <c r="J34" s="138">
        <f>IFERROR(__xludf.DUMMYFUNCTION("IFNA(QUERY('1. Karten'!$A:$Q,""select count(A) where (C="" &amp; $A$4 &amp; "" AND D LIKE '%"" &amp; $H34 &amp; ""%' AND B LIKE '%"" &amp; REGEXEXTRACT(J$20,""[^#\s]+"") &amp; ""%') label Count(A) ''""),0)"),2.0)</f>
        <v>2</v>
      </c>
      <c r="K34" s="138">
        <f>IFERROR(__xludf.DUMMYFUNCTION("IFNA(QUERY('1. Karten'!$A:$Q,""select count(A) where (C="" &amp; $A$4 &amp; "" AND D LIKE '%"" &amp; $H34 &amp; ""%' AND B LIKE '%"" &amp; REGEXEXTRACT(K$20,""[^#\s]+"") &amp; ""%') label Count(A) ''""),0)"),14.0)</f>
        <v>14</v>
      </c>
      <c r="L34" s="138">
        <f>IFERROR(__xludf.DUMMYFUNCTION("IFNA(QUERY('1. Karten'!$A:$Q,""select count(A) where (C="" &amp; $A$4 &amp; "" AND D LIKE '%"" &amp; $H34 &amp; ""%' AND B LIKE '%"" &amp; REGEXEXTRACT(L$20,""[^#\s]+"") &amp; ""%') label Count(A) ''""),0)"),1.0)</f>
        <v>1</v>
      </c>
      <c r="M34" s="138">
        <f>IFERROR(__xludf.DUMMYFUNCTION("IFNA(QUERY('1. Karten'!$A:$Q,""select count(A) where (C="" &amp; $A$4 &amp; "" AND D LIKE '%"" &amp; $H34 &amp; ""%' AND B LIKE '%"" &amp; REGEXEXTRACT(M$20,""[^#\s]+"") &amp; ""%') label Count(A) ''""),0)"),2.0)</f>
        <v>2</v>
      </c>
      <c r="N34" s="138">
        <f>IFERROR(__xludf.DUMMYFUNCTION("IFNA(QUERY('1. Karten'!$A:$Q,""select count(A) where (C="" &amp; $A$4 &amp; "" AND D LIKE '%"" &amp; $H34 &amp; ""%' AND B LIKE '%"" &amp; REGEXEXTRACT(N$20,""[^#\s]+"") &amp; ""%') label Count(A) ''""),0)"),1.0)</f>
        <v>1</v>
      </c>
    </row>
    <row r="35">
      <c r="H35" s="154" t="str">
        <f>IFERROR(__xludf.DUMMYFUNCTION("""COMPUTED_VALUE"""),"Demon")</f>
        <v>Demon</v>
      </c>
      <c r="I35" s="137">
        <f>IFERROR(__xludf.DUMMYFUNCTION("IFNA(QUERY('1. Karten'!$A:$Q,""select count(A) where (C="" &amp; $A$4 &amp; "" AND D LIKE '%"" &amp; $H35 &amp; ""%') label Count(A) ''""),0)"),19.0)</f>
        <v>19</v>
      </c>
      <c r="J35" s="138">
        <f>IFERROR(__xludf.DUMMYFUNCTION("IFNA(QUERY('1. Karten'!$A:$Q,""select count(A) where (C="" &amp; $A$4 &amp; "" AND D LIKE '%"" &amp; $H35 &amp; ""%' AND B LIKE '%"" &amp; REGEXEXTRACT(J$20,""[^#\s]+"") &amp; ""%') label Count(A) ''""),0)"),1.0)</f>
        <v>1</v>
      </c>
      <c r="K35" s="138">
        <f>IFERROR(__xludf.DUMMYFUNCTION("IFNA(QUERY('1. Karten'!$A:$Q,""select count(A) where (C="" &amp; $A$4 &amp; "" AND D LIKE '%"" &amp; $H35 &amp; ""%' AND B LIKE '%"" &amp; REGEXEXTRACT(K$20,""[^#\s]+"") &amp; ""%') label Count(A) ''""),0)"),3.0)</f>
        <v>3</v>
      </c>
      <c r="L35" s="138">
        <f>IFERROR(__xludf.DUMMYFUNCTION("IFNA(QUERY('1. Karten'!$A:$Q,""select count(A) where (C="" &amp; $A$4 &amp; "" AND D LIKE '%"" &amp; $H35 &amp; ""%' AND B LIKE '%"" &amp; REGEXEXTRACT(L$20,""[^#\s]+"") &amp; ""%') label Count(A) ''""),0)"),2.0)</f>
        <v>2</v>
      </c>
      <c r="M35" s="138">
        <f>IFERROR(__xludf.DUMMYFUNCTION("IFNA(QUERY('1. Karten'!$A:$Q,""select count(A) where (C="" &amp; $A$4 &amp; "" AND D LIKE '%"" &amp; $H35 &amp; ""%' AND B LIKE '%"" &amp; REGEXEXTRACT(M$20,""[^#\s]+"") &amp; ""%') label Count(A) ''""),0)"),1.0)</f>
        <v>1</v>
      </c>
      <c r="N35" s="138">
        <f>IFERROR(__xludf.DUMMYFUNCTION("IFNA(QUERY('1. Karten'!$A:$Q,""select count(A) where (C="" &amp; $A$4 &amp; "" AND D LIKE '%"" &amp; $H35 &amp; ""%' AND B LIKE '%"" &amp; REGEXEXTRACT(N$20,""[^#\s]+"") &amp; ""%') label Count(A) ''""),0)"),17.0)</f>
        <v>17</v>
      </c>
    </row>
    <row r="36">
      <c r="A36" s="105" t="s">
        <v>1443</v>
      </c>
      <c r="B36" s="134" t="s">
        <v>42</v>
      </c>
      <c r="C36" s="134" t="s">
        <v>50</v>
      </c>
      <c r="D36" s="134" t="s">
        <v>33</v>
      </c>
      <c r="E36" s="135" t="s">
        <v>1434</v>
      </c>
      <c r="H36" s="154"/>
      <c r="I36" s="155">
        <f>IFERROR(__xludf.DUMMYFUNCTION("IFNA(QUERY('1. Karten'!$A:$Q,""select count(A) where (C="" &amp; $A$4 &amp; "" AND D LIKE '%"" &amp; $H36 &amp; ""%') label Count(A) ''""),0)"),170.0)</f>
        <v>170</v>
      </c>
      <c r="J36" s="138">
        <f>IFERROR(__xludf.DUMMYFUNCTION("IFNA(QUERY('1. Karten'!$A:$Q,""select count(A) where (C="" &amp; $A$4 &amp; "" AND D LIKE '%"" &amp; $H36 &amp; ""%' AND B LIKE '%"" &amp; REGEXEXTRACT(J$20,""[^#\s]+"") &amp; ""%') label Count(A) ''""),0)"),40.0)</f>
        <v>40</v>
      </c>
      <c r="K36" s="138">
        <f>IFERROR(__xludf.DUMMYFUNCTION("IFNA(QUERY('1. Karten'!$A:$Q,""select count(A) where (C="" &amp; $A$4 &amp; "" AND D LIKE '%"" &amp; $H36 &amp; ""%' AND B LIKE '%"" &amp; REGEXEXTRACT(K$20,""[^#\s]+"") &amp; ""%') label Count(A) ''""),0)"),40.0)</f>
        <v>40</v>
      </c>
      <c r="L36" s="138">
        <f>IFERROR(__xludf.DUMMYFUNCTION("IFNA(QUERY('1. Karten'!$A:$Q,""select count(A) where (C="" &amp; $A$4 &amp; "" AND D LIKE '%"" &amp; $H36 &amp; ""%' AND B LIKE '%"" &amp; REGEXEXTRACT(L$20,""[^#\s]+"") &amp; ""%') label Count(A) ''""),0)"),41.0)</f>
        <v>41</v>
      </c>
      <c r="M36" s="138">
        <f>IFERROR(__xludf.DUMMYFUNCTION("IFNA(QUERY('1. Karten'!$A:$Q,""select count(A) where (C="" &amp; $A$4 &amp; "" AND D LIKE '%"" &amp; $H36 &amp; ""%' AND B LIKE '%"" &amp; REGEXEXTRACT(M$20,""[^#\s]+"") &amp; ""%') label Count(A) ''""),0)"),38.0)</f>
        <v>38</v>
      </c>
      <c r="N36" s="138">
        <f>IFERROR(__xludf.DUMMYFUNCTION("IFNA(QUERY('1. Karten'!$A:$Q,""select count(A) where (C="" &amp; $A$4 &amp; "" AND D LIKE '%"" &amp; $H36 &amp; ""%' AND B LIKE '%"" &amp; REGEXEXTRACT(N$20,""[^#\s]+"") &amp; ""%') label Count(A) ''""),0)"),37.0)</f>
        <v>37</v>
      </c>
    </row>
    <row r="37">
      <c r="A37" s="156" t="str">
        <f>IFERROR(__xludf.DUMMYFUNCTION("QUERY(UNIQUE(FLATTEN(MAP(UNIQUE(IFNA(QUERY('1. Karten'!$A$2:$Q1000,""select D where (C="" &amp; $A$4 &amp; "")"")),""""),LAMBDA(x,(SPLIT(x,"" "")))))),""SELECT * WHERE (Col1 IS NOT NULL) AND (Col1 matches '^\w+$')"")"),"Angel")</f>
        <v>Angel</v>
      </c>
      <c r="B37" s="97">
        <f>IFERROR(__xludf.DUMMYFUNCTION("IF(ISBLANK($A37),"""",IFNA(QUERY('1. Karten'!$A:$Q,""select count(A) where (C="" &amp; $A$4 &amp; "" AND D LIKE '%"" &amp; $A37 &amp; ""%' AND J='"" &amp; B$36 &amp; ""') label Count(A) ''""),0))"),5.0)</f>
        <v>5</v>
      </c>
      <c r="C37" s="97">
        <f>IFERROR(__xludf.DUMMYFUNCTION("IF(ISBLANK($A37),"""",IFNA(QUERY('1. Karten'!$A:$Q,""select count(A) where (C="" &amp; $A$4 &amp; "" AND D LIKE '%"" &amp; $A37 &amp; ""%' AND J='"" &amp; C$36 &amp; ""') label Count(A) ''""),0))"),6.0)</f>
        <v>6</v>
      </c>
      <c r="D37" s="97">
        <f>IFERROR(__xludf.DUMMYFUNCTION("IF(ISBLANK($A37),"""",IFNA(QUERY('1. Karten'!$A:$Q,""select count(A) where (C="" &amp; $A$4 &amp; "" AND D LIKE '%"" &amp; $A37 &amp; ""%' AND J='"" &amp; D$36 &amp; ""') label Count(A) ''""),0))"),7.0)</f>
        <v>7</v>
      </c>
      <c r="E37" s="140">
        <f t="shared" ref="E37:E63" si="4">IF(ISBLANK($A37),"",SUM($B37:$D37))</f>
        <v>18</v>
      </c>
      <c r="F37" s="141">
        <f t="shared" ref="F37:F63" si="5">IF(ISBLANK($A37),"",($E37/$A$2))</f>
        <v>0.1058823529</v>
      </c>
      <c r="H37" s="157"/>
    </row>
    <row r="38">
      <c r="A38" s="156" t="str">
        <f>IFERROR(__xludf.DUMMYFUNCTION("""COMPUTED_VALUE"""),"Animal")</f>
        <v>Animal</v>
      </c>
      <c r="B38" s="97">
        <f>IFERROR(__xludf.DUMMYFUNCTION("IF(ISBLANK($A38),"""",IFNA(QUERY('1. Karten'!$A:$Q,""select count(A) where (C="" &amp; $A$4 &amp; "" AND D LIKE '%"" &amp; $A38 &amp; ""%' AND J='"" &amp; B$36 &amp; ""') label Count(A) ''""),0))"),18.0)</f>
        <v>18</v>
      </c>
      <c r="C38" s="97">
        <f>IFERROR(__xludf.DUMMYFUNCTION("IF(ISBLANK($A38),"""",IFNA(QUERY('1. Karten'!$A:$Q,""select count(A) where (C="" &amp; $A$4 &amp; "" AND D LIKE '%"" &amp; $A38 &amp; ""%' AND J='"" &amp; C$36 &amp; ""') label Count(A) ''""),0))"),9.0)</f>
        <v>9</v>
      </c>
      <c r="D38" s="97">
        <f>IFERROR(__xludf.DUMMYFUNCTION("IF(ISBLANK($A38),"""",IFNA(QUERY('1. Karten'!$A:$Q,""select count(A) where (C="" &amp; $A$4 &amp; "" AND D LIKE '%"" &amp; $A38 &amp; ""%' AND J='"" &amp; D$36 &amp; ""') label Count(A) ''""),0))"),6.0)</f>
        <v>6</v>
      </c>
      <c r="E38" s="140">
        <f t="shared" si="4"/>
        <v>33</v>
      </c>
      <c r="F38" s="141">
        <f t="shared" si="5"/>
        <v>0.1941176471</v>
      </c>
    </row>
    <row r="39">
      <c r="A39" s="156" t="str">
        <f>IFERROR(__xludf.DUMMYFUNCTION("""COMPUTED_VALUE"""),"Construct")</f>
        <v>Construct</v>
      </c>
      <c r="B39" s="97">
        <f>IFERROR(__xludf.DUMMYFUNCTION("IF(ISBLANK($A39),"""",IFNA(QUERY('1. Karten'!$A:$Q,""select count(A) where (C="" &amp; $A$4 &amp; "" AND D LIKE '%"" &amp; $A39 &amp; ""%' AND J='"" &amp; B$36 &amp; ""') label Count(A) ''""),0))"),14.0)</f>
        <v>14</v>
      </c>
      <c r="C39" s="97">
        <f>IFERROR(__xludf.DUMMYFUNCTION("IF(ISBLANK($A39),"""",IFNA(QUERY('1. Karten'!$A:$Q,""select count(A) where (C="" &amp; $A$4 &amp; "" AND D LIKE '%"" &amp; $A39 &amp; ""%' AND J='"" &amp; C$36 &amp; ""') label Count(A) ''""),0))"),9.0)</f>
        <v>9</v>
      </c>
      <c r="D39" s="97">
        <f>IFERROR(__xludf.DUMMYFUNCTION("IF(ISBLANK($A39),"""",IFNA(QUERY('1. Karten'!$A:$Q,""select count(A) where (C="" &amp; $A$4 &amp; "" AND D LIKE '%"" &amp; $A39 &amp; ""%' AND J='"" &amp; D$36 &amp; ""') label Count(A) ''""),0))"),3.0)</f>
        <v>3</v>
      </c>
      <c r="E39" s="140">
        <f t="shared" si="4"/>
        <v>26</v>
      </c>
      <c r="F39" s="141">
        <f t="shared" si="5"/>
        <v>0.1529411765</v>
      </c>
    </row>
    <row r="40">
      <c r="A40" s="156" t="str">
        <f>IFERROR(__xludf.DUMMYFUNCTION("""COMPUTED_VALUE"""),"Hunter")</f>
        <v>Hunter</v>
      </c>
      <c r="B40" s="97">
        <f>IFERROR(__xludf.DUMMYFUNCTION("IF(ISBLANK($A40),"""",IFNA(QUERY('1. Karten'!$A:$Q,""select count(A) where (C="" &amp; $A$4 &amp; "" AND D LIKE '%"" &amp; $A40 &amp; ""%' AND J='"" &amp; B$36 &amp; ""') label Count(A) ''""),0))"),9.0)</f>
        <v>9</v>
      </c>
      <c r="C40" s="97">
        <f>IFERROR(__xludf.DUMMYFUNCTION("IF(ISBLANK($A40),"""",IFNA(QUERY('1. Karten'!$A:$Q,""select count(A) where (C="" &amp; $A$4 &amp; "" AND D LIKE '%"" &amp; $A40 &amp; ""%' AND J='"" &amp; C$36 &amp; ""') label Count(A) ''""),0))"),9.0)</f>
        <v>9</v>
      </c>
      <c r="D40" s="97">
        <f>IFERROR(__xludf.DUMMYFUNCTION("IF(ISBLANK($A40),"""",IFNA(QUERY('1. Karten'!$A:$Q,""select count(A) where (C="" &amp; $A$4 &amp; "" AND D LIKE '%"" &amp; $A40 &amp; ""%' AND J='"" &amp; D$36 &amp; ""') label Count(A) ''""),0))"),2.0)</f>
        <v>2</v>
      </c>
      <c r="E40" s="140">
        <f t="shared" si="4"/>
        <v>20</v>
      </c>
      <c r="F40" s="141">
        <f t="shared" si="5"/>
        <v>0.1176470588</v>
      </c>
    </row>
    <row r="41">
      <c r="A41" s="156" t="str">
        <f>IFERROR(__xludf.DUMMYFUNCTION("""COMPUTED_VALUE"""),"Plant")</f>
        <v>Plant</v>
      </c>
      <c r="B41" s="97">
        <f>IFERROR(__xludf.DUMMYFUNCTION("IF(ISBLANK($A41),"""",IFNA(QUERY('1. Karten'!$A:$Q,""select count(A) where (C="" &amp; $A$4 &amp; "" AND D LIKE '%"" &amp; $A41 &amp; ""%' AND J='"" &amp; B$36 &amp; ""') label Count(A) ''""),0))"),11.0)</f>
        <v>11</v>
      </c>
      <c r="C41" s="97">
        <f>IFERROR(__xludf.DUMMYFUNCTION("IF(ISBLANK($A41),"""",IFNA(QUERY('1. Karten'!$A:$Q,""select count(A) where (C="" &amp; $A$4 &amp; "" AND D LIKE '%"" &amp; $A41 &amp; ""%' AND J='"" &amp; C$36 &amp; ""') label Count(A) ''""),0))"),2.0)</f>
        <v>2</v>
      </c>
      <c r="D41" s="97">
        <f>IFERROR(__xludf.DUMMYFUNCTION("IF(ISBLANK($A41),"""",IFNA(QUERY('1. Karten'!$A:$Q,""select count(A) where (C="" &amp; $A$4 &amp; "" AND D LIKE '%"" &amp; $A41 &amp; ""%' AND J='"" &amp; D$36 &amp; ""') label Count(A) ''""),0))"),3.0)</f>
        <v>3</v>
      </c>
      <c r="E41" s="140">
        <f t="shared" si="4"/>
        <v>16</v>
      </c>
      <c r="F41" s="141">
        <f t="shared" si="5"/>
        <v>0.09411764706</v>
      </c>
    </row>
    <row r="42">
      <c r="A42" s="156" t="str">
        <f>IFERROR(__xludf.DUMMYFUNCTION("""COMPUTED_VALUE"""),"Spirit")</f>
        <v>Spirit</v>
      </c>
      <c r="B42" s="97">
        <f>IFERROR(__xludf.DUMMYFUNCTION("IF(ISBLANK($A42),"""",IFNA(QUERY('1. Karten'!$A:$Q,""select count(A) where (C="" &amp; $A$4 &amp; "" AND D LIKE '%"" &amp; $A42 &amp; ""%' AND J='"" &amp; B$36 &amp; ""') label Count(A) ''""),0))"),12.0)</f>
        <v>12</v>
      </c>
      <c r="C42" s="97">
        <f>IFERROR(__xludf.DUMMYFUNCTION("IF(ISBLANK($A42),"""",IFNA(QUERY('1. Karten'!$A:$Q,""select count(A) where (C="" &amp; $A$4 &amp; "" AND D LIKE '%"" &amp; $A42 &amp; ""%' AND J='"" &amp; C$36 &amp; ""') label Count(A) ''""),0))"),7.0)</f>
        <v>7</v>
      </c>
      <c r="D42" s="97">
        <f>IFERROR(__xludf.DUMMYFUNCTION("IF(ISBLANK($A42),"""",IFNA(QUERY('1. Karten'!$A:$Q,""select count(A) where (C="" &amp; $A$4 &amp; "" AND D LIKE '%"" &amp; $A42 &amp; ""%' AND J='"" &amp; D$36 &amp; ""') label Count(A) ''""),0))"),3.0)</f>
        <v>3</v>
      </c>
      <c r="E42" s="140">
        <f t="shared" si="4"/>
        <v>22</v>
      </c>
      <c r="F42" s="141">
        <f t="shared" si="5"/>
        <v>0.1294117647</v>
      </c>
    </row>
    <row r="43">
      <c r="A43" s="156" t="str">
        <f>IFERROR(__xludf.DUMMYFUNCTION("""COMPUTED_VALUE"""),"Warrior")</f>
        <v>Warrior</v>
      </c>
      <c r="B43" s="97">
        <f>IFERROR(__xludf.DUMMYFUNCTION("IF(ISBLANK($A43),"""",IFNA(QUERY('1. Karten'!$A:$Q,""select count(A) where (C="" &amp; $A$4 &amp; "" AND D LIKE '%"" &amp; $A43 &amp; ""%' AND J='"" &amp; B$36 &amp; ""') label Count(A) ''""),0))"),14.0)</f>
        <v>14</v>
      </c>
      <c r="C43" s="97">
        <f>IFERROR(__xludf.DUMMYFUNCTION("IF(ISBLANK($A43),"""",IFNA(QUERY('1. Karten'!$A:$Q,""select count(A) where (C="" &amp; $A$4 &amp; "" AND D LIKE '%"" &amp; $A43 &amp; ""%' AND J='"" &amp; C$36 &amp; ""') label Count(A) ''""),0))"),3.0)</f>
        <v>3</v>
      </c>
      <c r="D43" s="97">
        <f>IFERROR(__xludf.DUMMYFUNCTION("IF(ISBLANK($A43),"""",IFNA(QUERY('1. Karten'!$A:$Q,""select count(A) where (C="" &amp; $A$4 &amp; "" AND D LIKE '%"" &amp; $A43 &amp; ""%' AND J='"" &amp; D$36 &amp; ""') label Count(A) ''""),0))"),3.0)</f>
        <v>3</v>
      </c>
      <c r="E43" s="140">
        <f t="shared" si="4"/>
        <v>20</v>
      </c>
      <c r="F43" s="141">
        <f t="shared" si="5"/>
        <v>0.1176470588</v>
      </c>
    </row>
    <row r="44">
      <c r="A44" s="156" t="str">
        <f>IFERROR(__xludf.DUMMYFUNCTION("""COMPUTED_VALUE"""),"Wizard")</f>
        <v>Wizard</v>
      </c>
      <c r="B44" s="97">
        <f>IFERROR(__xludf.DUMMYFUNCTION("IF(ISBLANK($A44),"""",IFNA(QUERY('1. Karten'!$A:$Q,""select count(A) where (C="" &amp; $A$4 &amp; "" AND D LIKE '%"" &amp; $A44 &amp; ""%' AND J='"" &amp; B$36 &amp; ""') label Count(A) ''""),0))"),5.0)</f>
        <v>5</v>
      </c>
      <c r="C44" s="97">
        <f>IFERROR(__xludf.DUMMYFUNCTION("IF(ISBLANK($A44),"""",IFNA(QUERY('1. Karten'!$A:$Q,""select count(A) where (C="" &amp; $A$4 &amp; "" AND D LIKE '%"" &amp; $A44 &amp; ""%' AND J='"" &amp; C$36 &amp; ""') label Count(A) ''""),0))"),10.0)</f>
        <v>10</v>
      </c>
      <c r="D44" s="97">
        <f>IFERROR(__xludf.DUMMYFUNCTION("IF(ISBLANK($A44),"""",IFNA(QUERY('1. Karten'!$A:$Q,""select count(A) where (C="" &amp; $A$4 &amp; "" AND D LIKE '%"" &amp; $A44 &amp; ""%' AND J='"" &amp; D$36 &amp; ""') label Count(A) ''""),0))"),4.0)</f>
        <v>4</v>
      </c>
      <c r="E44" s="140">
        <f t="shared" si="4"/>
        <v>19</v>
      </c>
      <c r="F44" s="141">
        <f t="shared" si="5"/>
        <v>0.1117647059</v>
      </c>
    </row>
    <row r="45">
      <c r="A45" s="156" t="str">
        <f>IFERROR(__xludf.DUMMYFUNCTION("""COMPUTED_VALUE"""),"Undead")</f>
        <v>Undead</v>
      </c>
      <c r="B45" s="97">
        <f>IFERROR(__xludf.DUMMYFUNCTION("IF(ISBLANK($A45),"""",IFNA(QUERY('1. Karten'!$A:$Q,""select count(A) where (C="" &amp; $A$4 &amp; "" AND D LIKE '%"" &amp; $A45 &amp; ""%' AND J='"" &amp; B$36 &amp; ""') label Count(A) ''""),0))"),12.0)</f>
        <v>12</v>
      </c>
      <c r="C45" s="97">
        <f>IFERROR(__xludf.DUMMYFUNCTION("IF(ISBLANK($A45),"""",IFNA(QUERY('1. Karten'!$A:$Q,""select count(A) where (C="" &amp; $A$4 &amp; "" AND D LIKE '%"" &amp; $A45 &amp; ""%' AND J='"" &amp; C$36 &amp; ""') label Count(A) ''""),0))"),6.0)</f>
        <v>6</v>
      </c>
      <c r="D45" s="97">
        <f>IFERROR(__xludf.DUMMYFUNCTION("IF(ISBLANK($A45),"""",IFNA(QUERY('1. Karten'!$A:$Q,""select count(A) where (C="" &amp; $A$4 &amp; "" AND D LIKE '%"" &amp; $A45 &amp; ""%' AND J='"" &amp; D$36 &amp; ""') label Count(A) ''""),0))"),1.0)</f>
        <v>1</v>
      </c>
      <c r="E45" s="140">
        <f t="shared" si="4"/>
        <v>19</v>
      </c>
      <c r="F45" s="141">
        <f t="shared" si="5"/>
        <v>0.1117647059</v>
      </c>
    </row>
    <row r="46">
      <c r="A46" s="156" t="str">
        <f>IFERROR(__xludf.DUMMYFUNCTION("""COMPUTED_VALUE"""),"Dragon")</f>
        <v>Dragon</v>
      </c>
      <c r="B46" s="97">
        <f>IFERROR(__xludf.DUMMYFUNCTION("IF(ISBLANK($A46),"""",IFNA(QUERY('1. Karten'!$A:$Q,""select count(A) where (C="" &amp; $A$4 &amp; "" AND D LIKE '%"" &amp; $A46 &amp; ""%' AND J='"" &amp; B$36 &amp; ""') label Count(A) ''""),0))"),8.0)</f>
        <v>8</v>
      </c>
      <c r="C46" s="97">
        <f>IFERROR(__xludf.DUMMYFUNCTION("IF(ISBLANK($A46),"""",IFNA(QUERY('1. Karten'!$A:$Q,""select count(A) where (C="" &amp; $A$4 &amp; "" AND D LIKE '%"" &amp; $A46 &amp; ""%' AND J='"" &amp; C$36 &amp; ""') label Count(A) ''""),0))"),5.0)</f>
        <v>5</v>
      </c>
      <c r="D46" s="97">
        <f>IFERROR(__xludf.DUMMYFUNCTION("IF(ISBLANK($A46),"""",IFNA(QUERY('1. Karten'!$A:$Q,""select count(A) where (C="" &amp; $A$4 &amp; "" AND D LIKE '%"" &amp; $A46 &amp; ""%' AND J='"" &amp; D$36 &amp; ""') label Count(A) ''""),0))"),6.0)</f>
        <v>6</v>
      </c>
      <c r="E46" s="140">
        <f t="shared" si="4"/>
        <v>19</v>
      </c>
      <c r="F46" s="141">
        <f t="shared" si="5"/>
        <v>0.1117647059</v>
      </c>
    </row>
    <row r="47">
      <c r="A47" s="156" t="str">
        <f>IFERROR(__xludf.DUMMYFUNCTION("""COMPUTED_VALUE"""),"Human")</f>
        <v>Human</v>
      </c>
      <c r="B47" s="97">
        <f>IFERROR(__xludf.DUMMYFUNCTION("IF(ISBLANK($A47),"""",IFNA(QUERY('1. Karten'!$A:$Q,""select count(A) where (C="" &amp; $A$4 &amp; "" AND D LIKE '%"" &amp; $A47 &amp; ""%' AND J='"" &amp; B$36 &amp; ""') label Count(A) ''""),0))"),13.0)</f>
        <v>13</v>
      </c>
      <c r="C47" s="97">
        <f>IFERROR(__xludf.DUMMYFUNCTION("IF(ISBLANK($A47),"""",IFNA(QUERY('1. Karten'!$A:$Q,""select count(A) where (C="" &amp; $A$4 &amp; "" AND D LIKE '%"" &amp; $A47 &amp; ""%' AND J='"" &amp; C$36 &amp; ""') label Count(A) ''""),0))"),9.0)</f>
        <v>9</v>
      </c>
      <c r="D47" s="97">
        <f>IFERROR(__xludf.DUMMYFUNCTION("IF(ISBLANK($A47),"""",IFNA(QUERY('1. Karten'!$A:$Q,""select count(A) where (C="" &amp; $A$4 &amp; "" AND D LIKE '%"" &amp; $A47 &amp; ""%' AND J='"" &amp; D$36 &amp; ""') label Count(A) ''""),0))"),4.0)</f>
        <v>4</v>
      </c>
      <c r="E47" s="140">
        <f t="shared" si="4"/>
        <v>26</v>
      </c>
      <c r="F47" s="141">
        <f t="shared" si="5"/>
        <v>0.1529411765</v>
      </c>
    </row>
    <row r="48">
      <c r="A48" s="156" t="str">
        <f>IFERROR(__xludf.DUMMYFUNCTION("""COMPUTED_VALUE"""),"Insect")</f>
        <v>Insect</v>
      </c>
      <c r="B48" s="97">
        <f>IFERROR(__xludf.DUMMYFUNCTION("IF(ISBLANK($A48),"""",IFNA(QUERY('1. Karten'!$A:$Q,""select count(A) where (C="" &amp; $A$4 &amp; "" AND D LIKE '%"" &amp; $A48 &amp; ""%' AND J='"" &amp; B$36 &amp; ""') label Count(A) ''""),0))"),4.0)</f>
        <v>4</v>
      </c>
      <c r="C48" s="97">
        <f>IFERROR(__xludf.DUMMYFUNCTION("IF(ISBLANK($A48),"""",IFNA(QUERY('1. Karten'!$A:$Q,""select count(A) where (C="" &amp; $A$4 &amp; "" AND D LIKE '%"" &amp; $A48 &amp; ""%' AND J='"" &amp; C$36 &amp; ""') label Count(A) ''""),0))"),6.0)</f>
        <v>6</v>
      </c>
      <c r="D48" s="97">
        <f>IFERROR(__xludf.DUMMYFUNCTION("IF(ISBLANK($A48),"""",IFNA(QUERY('1. Karten'!$A:$Q,""select count(A) where (C="" &amp; $A$4 &amp; "" AND D LIKE '%"" &amp; $A48 &amp; ""%' AND J='"" &amp; D$36 &amp; ""') label Count(A) ''""),0))"),1.0)</f>
        <v>1</v>
      </c>
      <c r="E48" s="140">
        <f t="shared" si="4"/>
        <v>11</v>
      </c>
      <c r="F48" s="141">
        <f t="shared" si="5"/>
        <v>0.06470588235</v>
      </c>
    </row>
    <row r="49">
      <c r="A49" s="156" t="str">
        <f>IFERROR(__xludf.DUMMYFUNCTION("""COMPUTED_VALUE"""),"Bannerbearer")</f>
        <v>Bannerbearer</v>
      </c>
      <c r="B49" s="97">
        <f>IFERROR(__xludf.DUMMYFUNCTION("IF(ISBLANK($A49),"""",IFNA(QUERY('1. Karten'!$A:$Q,""select count(A) where (C="" &amp; $A$4 &amp; "" AND D LIKE '%"" &amp; $A49 &amp; ""%' AND J='"" &amp; B$36 &amp; ""') label Count(A) ''""),0))"),10.0)</f>
        <v>10</v>
      </c>
      <c r="C49" s="97">
        <f>IFERROR(__xludf.DUMMYFUNCTION("IF(ISBLANK($A49),"""",IFNA(QUERY('1. Karten'!$A:$Q,""select count(A) where (C="" &amp; $A$4 &amp; "" AND D LIKE '%"" &amp; $A49 &amp; ""%' AND J='"" &amp; C$36 &amp; ""') label Count(A) ''""),0))"),0.0)</f>
        <v>0</v>
      </c>
      <c r="D49" s="97">
        <f>IFERROR(__xludf.DUMMYFUNCTION("IF(ISBLANK($A49),"""",IFNA(QUERY('1. Karten'!$A:$Q,""select count(A) where (C="" &amp; $A$4 &amp; "" AND D LIKE '%"" &amp; $A49 &amp; ""%' AND J='"" &amp; D$36 &amp; ""') label Count(A) ''""),0))"),0.0)</f>
        <v>0</v>
      </c>
      <c r="E49" s="140">
        <f t="shared" si="4"/>
        <v>10</v>
      </c>
      <c r="F49" s="141">
        <f t="shared" si="5"/>
        <v>0.05882352941</v>
      </c>
    </row>
    <row r="50">
      <c r="A50" s="156" t="str">
        <f>IFERROR(__xludf.DUMMYFUNCTION("""COMPUTED_VALUE"""),"Dinosaur")</f>
        <v>Dinosaur</v>
      </c>
      <c r="B50" s="97">
        <f>IFERROR(__xludf.DUMMYFUNCTION("IF(ISBLANK($A50),"""",IFNA(QUERY('1. Karten'!$A:$Q,""select count(A) where (C="" &amp; $A$4 &amp; "" AND D LIKE '%"" &amp; $A50 &amp; ""%' AND J='"" &amp; B$36 &amp; ""') label Count(A) ''""),0))"),8.0)</f>
        <v>8</v>
      </c>
      <c r="C50" s="97">
        <f>IFERROR(__xludf.DUMMYFUNCTION("IF(ISBLANK($A50),"""",IFNA(QUERY('1. Karten'!$A:$Q,""select count(A) where (C="" &amp; $A$4 &amp; "" AND D LIKE '%"" &amp; $A50 &amp; ""%' AND J='"" &amp; C$36 &amp; ""') label Count(A) ''""),0))"),6.0)</f>
        <v>6</v>
      </c>
      <c r="D50" s="97">
        <f>IFERROR(__xludf.DUMMYFUNCTION("IF(ISBLANK($A50),"""",IFNA(QUERY('1. Karten'!$A:$Q,""select count(A) where (C="" &amp; $A$4 &amp; "" AND D LIKE '%"" &amp; $A50 &amp; ""%' AND J='"" &amp; D$36 &amp; ""') label Count(A) ''""),0))"),4.0)</f>
        <v>4</v>
      </c>
      <c r="E50" s="140">
        <f t="shared" si="4"/>
        <v>18</v>
      </c>
      <c r="F50" s="141">
        <f t="shared" si="5"/>
        <v>0.1058823529</v>
      </c>
    </row>
    <row r="51">
      <c r="A51" s="158" t="str">
        <f>IFERROR(__xludf.DUMMYFUNCTION("""COMPUTED_VALUE"""),"Demon")</f>
        <v>Demon</v>
      </c>
      <c r="B51" s="97">
        <f>IFERROR(__xludf.DUMMYFUNCTION("IF(ISBLANK($A51),"""",IFNA(QUERY('1. Karten'!$A:$Q,""select count(A) where (C="" &amp; $A$4 &amp; "" AND D LIKE '%"" &amp; $A51 &amp; ""%' AND J='"" &amp; B$36 &amp; ""') label Count(A) ''""),0))"),11.0)</f>
        <v>11</v>
      </c>
      <c r="C51" s="97">
        <f>IFERROR(__xludf.DUMMYFUNCTION("IF(ISBLANK($A51),"""",IFNA(QUERY('1. Karten'!$A:$Q,""select count(A) where (C="" &amp; $A$4 &amp; "" AND D LIKE '%"" &amp; $A51 &amp; ""%' AND J='"" &amp; C$36 &amp; ""') label Count(A) ''""),0))"),3.0)</f>
        <v>3</v>
      </c>
      <c r="D51" s="97">
        <f>IFERROR(__xludf.DUMMYFUNCTION("IF(ISBLANK($A51),"""",IFNA(QUERY('1. Karten'!$A:$Q,""select count(A) where (C="" &amp; $A$4 &amp; "" AND D LIKE '%"" &amp; $A51 &amp; ""%' AND J='"" &amp; D$36 &amp; ""') label Count(A) ''""),0))"),5.0)</f>
        <v>5</v>
      </c>
      <c r="E51" s="140">
        <f t="shared" si="4"/>
        <v>19</v>
      </c>
      <c r="F51" s="141">
        <f t="shared" si="5"/>
        <v>0.1117647059</v>
      </c>
    </row>
    <row r="52">
      <c r="A52" s="158"/>
      <c r="B52" s="97" t="str">
        <f>IFERROR(__xludf.DUMMYFUNCTION("IF(ISBLANK($A52),"""",IFNA(QUERY('1. Karten'!$A:$Q,""select count(A) where (C="" &amp; $A$4 &amp; "" AND D LIKE '%"" &amp; $A52 &amp; ""%' AND J='"" &amp; B$36 &amp; ""') label Count(A) ''""),0))"),"")</f>
        <v/>
      </c>
      <c r="C52" s="97" t="str">
        <f>IFERROR(__xludf.DUMMYFUNCTION("IF(ISBLANK($A52),"""",IFNA(QUERY('1. Karten'!$A:$Q,""select count(A) where (C="" &amp; $A$4 &amp; "" AND D LIKE '%"" &amp; $A52 &amp; ""%' AND J='"" &amp; C$36 &amp; ""') label Count(A) ''""),0))"),"")</f>
        <v/>
      </c>
      <c r="D52" s="97" t="str">
        <f>IFERROR(__xludf.DUMMYFUNCTION("IF(ISBLANK($A52),"""",IFNA(QUERY('1. Karten'!$A:$Q,""select count(A) where (C="" &amp; $A$4 &amp; "" AND D LIKE '%"" &amp; $A52 &amp; ""%' AND J='"" &amp; D$36 &amp; ""') label Count(A) ''""),0))"),"")</f>
        <v/>
      </c>
      <c r="E52" s="140" t="str">
        <f t="shared" si="4"/>
        <v/>
      </c>
      <c r="F52" s="141" t="str">
        <f t="shared" si="5"/>
        <v/>
      </c>
    </row>
    <row r="53">
      <c r="B53" s="97" t="str">
        <f>IFERROR(__xludf.DUMMYFUNCTION("IF(ISBLANK($A53),"""",IFNA(QUERY('1. Karten'!$A:$Q,""select count(A) where (C="" &amp; $A$4 &amp; "" AND D LIKE '%"" &amp; $A53 &amp; ""%' AND J='"" &amp; B$36 &amp; ""') label Count(A) ''""),0))"),"")</f>
        <v/>
      </c>
      <c r="C53" s="97" t="str">
        <f>IFERROR(__xludf.DUMMYFUNCTION("IF(ISBLANK($A53),"""",IFNA(QUERY('1. Karten'!$A:$Q,""select count(A) where (C="" &amp; $A$4 &amp; "" AND D LIKE '%"" &amp; $A53 &amp; ""%' AND J='"" &amp; C$36 &amp; ""') label Count(A) ''""),0))"),"")</f>
        <v/>
      </c>
      <c r="D53" s="97" t="str">
        <f>IFERROR(__xludf.DUMMYFUNCTION("IF(ISBLANK($A53),"""",IFNA(QUERY('1. Karten'!$A:$Q,""select count(A) where (C="" &amp; $A$4 &amp; "" AND D LIKE '%"" &amp; $A53 &amp; ""%' AND J='"" &amp; D$36 &amp; ""') label Count(A) ''""),0))"),"")</f>
        <v/>
      </c>
      <c r="E53" s="140" t="str">
        <f t="shared" si="4"/>
        <v/>
      </c>
      <c r="F53" s="141" t="str">
        <f t="shared" si="5"/>
        <v/>
      </c>
    </row>
    <row r="54">
      <c r="B54" s="97" t="str">
        <f>IFERROR(__xludf.DUMMYFUNCTION("IF(ISBLANK($A54),"""",IFNA(QUERY('1. Karten'!$A:$Q,""select count(A) where (C="" &amp; $A$4 &amp; "" AND D LIKE '%"" &amp; $A54 &amp; ""%' AND J='"" &amp; B$36 &amp; ""') label Count(A) ''""),0))"),"")</f>
        <v/>
      </c>
      <c r="C54" s="97" t="str">
        <f>IFERROR(__xludf.DUMMYFUNCTION("IF(ISBLANK($A54),"""",IFNA(QUERY('1. Karten'!$A:$Q,""select count(A) where (C="" &amp; $A$4 &amp; "" AND D LIKE '%"" &amp; $A54 &amp; ""%' AND J='"" &amp; C$36 &amp; ""') label Count(A) ''""),0))"),"")</f>
        <v/>
      </c>
      <c r="D54" s="97" t="str">
        <f>IFERROR(__xludf.DUMMYFUNCTION("IF(ISBLANK($A54),"""",IFNA(QUERY('1. Karten'!$A:$Q,""select count(A) where (C="" &amp; $A$4 &amp; "" AND D LIKE '%"" &amp; $A54 &amp; ""%' AND J='"" &amp; D$36 &amp; ""') label Count(A) ''""),0))"),"")</f>
        <v/>
      </c>
      <c r="E54" s="140" t="str">
        <f t="shared" si="4"/>
        <v/>
      </c>
      <c r="F54" s="141" t="str">
        <f t="shared" si="5"/>
        <v/>
      </c>
    </row>
    <row r="55">
      <c r="B55" s="97" t="str">
        <f>IFERROR(__xludf.DUMMYFUNCTION("IF(ISBLANK($A55),"""",IFNA(QUERY('1. Karten'!$A:$Q,""select count(A) where (C="" &amp; $A$4 &amp; "" AND D LIKE '%"" &amp; $A55 &amp; ""%' AND J='"" &amp; B$36 &amp; ""') label Count(A) ''""),0))"),"")</f>
        <v/>
      </c>
      <c r="C55" s="97" t="str">
        <f>IFERROR(__xludf.DUMMYFUNCTION("IF(ISBLANK($A55),"""",IFNA(QUERY('1. Karten'!$A:$Q,""select count(A) where (C="" &amp; $A$4 &amp; "" AND D LIKE '%"" &amp; $A55 &amp; ""%' AND J='"" &amp; C$36 &amp; ""') label Count(A) ''""),0))"),"")</f>
        <v/>
      </c>
      <c r="D55" s="97" t="str">
        <f>IFERROR(__xludf.DUMMYFUNCTION("IF(ISBLANK($A55),"""",IFNA(QUERY('1. Karten'!$A:$Q,""select count(A) where (C="" &amp; $A$4 &amp; "" AND D LIKE '%"" &amp; $A55 &amp; ""%' AND J='"" &amp; D$36 &amp; ""') label Count(A) ''""),0))"),"")</f>
        <v/>
      </c>
      <c r="E55" s="140" t="str">
        <f t="shared" si="4"/>
        <v/>
      </c>
      <c r="F55" s="141" t="str">
        <f t="shared" si="5"/>
        <v/>
      </c>
    </row>
    <row r="56">
      <c r="B56" s="97" t="str">
        <f>IFERROR(__xludf.DUMMYFUNCTION("IF(ISBLANK($A56),"""",IFNA(QUERY('1. Karten'!$A:$Q,""select count(A) where (C="" &amp; $A$4 &amp; "" AND D LIKE '%"" &amp; $A56 &amp; ""%' AND J='"" &amp; B$36 &amp; ""') label Count(A) ''""),0))"),"")</f>
        <v/>
      </c>
      <c r="C56" s="97" t="str">
        <f>IFERROR(__xludf.DUMMYFUNCTION("IF(ISBLANK($A56),"""",IFNA(QUERY('1. Karten'!$A:$Q,""select count(A) where (C="" &amp; $A$4 &amp; "" AND D LIKE '%"" &amp; $A56 &amp; ""%' AND J='"" &amp; C$36 &amp; ""') label Count(A) ''""),0))"),"")</f>
        <v/>
      </c>
      <c r="D56" s="97" t="str">
        <f>IFERROR(__xludf.DUMMYFUNCTION("IF(ISBLANK($A56),"""",IFNA(QUERY('1. Karten'!$A:$Q,""select count(A) where (C="" &amp; $A$4 &amp; "" AND D LIKE '%"" &amp; $A56 &amp; ""%' AND J='"" &amp; D$36 &amp; ""') label Count(A) ''""),0))"),"")</f>
        <v/>
      </c>
      <c r="E56" s="140" t="str">
        <f t="shared" si="4"/>
        <v/>
      </c>
      <c r="F56" s="141" t="str">
        <f t="shared" si="5"/>
        <v/>
      </c>
    </row>
    <row r="57">
      <c r="B57" s="97" t="str">
        <f>IFERROR(__xludf.DUMMYFUNCTION("IF(ISBLANK($A57),"""",IFNA(QUERY('1. Karten'!$A:$Q,""select count(A) where (C="" &amp; $A$4 &amp; "" AND D LIKE '%"" &amp; $A57 &amp; ""%' AND J='"" &amp; B$36 &amp; ""') label Count(A) ''""),0))"),"")</f>
        <v/>
      </c>
      <c r="C57" s="97" t="str">
        <f>IFERROR(__xludf.DUMMYFUNCTION("IF(ISBLANK($A57),"""",IFNA(QUERY('1. Karten'!$A:$Q,""select count(A) where (C="" &amp; $A$4 &amp; "" AND D LIKE '%"" &amp; $A57 &amp; ""%' AND J='"" &amp; C$36 &amp; ""') label Count(A) ''""),0))"),"")</f>
        <v/>
      </c>
      <c r="D57" s="97" t="str">
        <f>IFERROR(__xludf.DUMMYFUNCTION("IF(ISBLANK($A57),"""",IFNA(QUERY('1. Karten'!$A:$Q,""select count(A) where (C="" &amp; $A$4 &amp; "" AND D LIKE '%"" &amp; $A57 &amp; ""%' AND J='"" &amp; D$36 &amp; ""') label Count(A) ''""),0))"),"")</f>
        <v/>
      </c>
      <c r="E57" s="140" t="str">
        <f t="shared" si="4"/>
        <v/>
      </c>
      <c r="F57" s="141" t="str">
        <f t="shared" si="5"/>
        <v/>
      </c>
    </row>
    <row r="58">
      <c r="B58" s="97" t="str">
        <f>IFERROR(__xludf.DUMMYFUNCTION("IF(ISBLANK($A58),"""",IFNA(QUERY('1. Karten'!$A:$Q,""select count(A) where (C="" &amp; $A$4 &amp; "" AND D LIKE '%"" &amp; $A58 &amp; ""%' AND J='"" &amp; B$36 &amp; ""') label Count(A) ''""),0))"),"")</f>
        <v/>
      </c>
      <c r="C58" s="97" t="str">
        <f>IFERROR(__xludf.DUMMYFUNCTION("IF(ISBLANK($A58),"""",IFNA(QUERY('1. Karten'!$A:$Q,""select count(A) where (C="" &amp; $A$4 &amp; "" AND D LIKE '%"" &amp; $A58 &amp; ""%' AND J='"" &amp; C$36 &amp; ""') label Count(A) ''""),0))"),"")</f>
        <v/>
      </c>
      <c r="D58" s="97" t="str">
        <f>IFERROR(__xludf.DUMMYFUNCTION("IF(ISBLANK($A58),"""",IFNA(QUERY('1. Karten'!$A:$Q,""select count(A) where (C="" &amp; $A$4 &amp; "" AND D LIKE '%"" &amp; $A58 &amp; ""%' AND J='"" &amp; D$36 &amp; ""') label Count(A) ''""),0))"),"")</f>
        <v/>
      </c>
      <c r="E58" s="140" t="str">
        <f t="shared" si="4"/>
        <v/>
      </c>
      <c r="F58" s="141" t="str">
        <f t="shared" si="5"/>
        <v/>
      </c>
    </row>
    <row r="59">
      <c r="B59" s="97" t="str">
        <f>IFERROR(__xludf.DUMMYFUNCTION("IF(ISBLANK($A59),"""",IFNA(QUERY('1. Karten'!$A:$Q,""select count(A) where (C="" &amp; $A$4 &amp; "" AND D LIKE '%"" &amp; $A59 &amp; ""%' AND J='"" &amp; B$36 &amp; ""') label Count(A) ''""),0))"),"")</f>
        <v/>
      </c>
      <c r="C59" s="97" t="str">
        <f>IFERROR(__xludf.DUMMYFUNCTION("IF(ISBLANK($A59),"""",IFNA(QUERY('1. Karten'!$A:$Q,""select count(A) where (C="" &amp; $A$4 &amp; "" AND D LIKE '%"" &amp; $A59 &amp; ""%' AND J='"" &amp; C$36 &amp; ""') label Count(A) ''""),0))"),"")</f>
        <v/>
      </c>
      <c r="D59" s="97" t="str">
        <f>IFERROR(__xludf.DUMMYFUNCTION("IF(ISBLANK($A59),"""",IFNA(QUERY('1. Karten'!$A:$Q,""select count(A) where (C="" &amp; $A$4 &amp; "" AND D LIKE '%"" &amp; $A59 &amp; ""%' AND J='"" &amp; D$36 &amp; ""') label Count(A) ''""),0))"),"")</f>
        <v/>
      </c>
      <c r="E59" s="140" t="str">
        <f t="shared" si="4"/>
        <v/>
      </c>
      <c r="F59" s="141" t="str">
        <f t="shared" si="5"/>
        <v/>
      </c>
    </row>
    <row r="60">
      <c r="B60" s="97" t="str">
        <f>IFERROR(__xludf.DUMMYFUNCTION("IF(ISBLANK($A60),"""",IFNA(QUERY('1. Karten'!$A:$Q,""select count(A) where (C="" &amp; $A$4 &amp; "" AND D LIKE '%"" &amp; $A60 &amp; ""%' AND J='"" &amp; B$36 &amp; ""') label Count(A) ''""),0))"),"")</f>
        <v/>
      </c>
      <c r="C60" s="97" t="str">
        <f>IFERROR(__xludf.DUMMYFUNCTION("IF(ISBLANK($A60),"""",IFNA(QUERY('1. Karten'!$A:$Q,""select count(A) where (C="" &amp; $A$4 &amp; "" AND D LIKE '%"" &amp; $A60 &amp; ""%' AND J='"" &amp; C$36 &amp; ""') label Count(A) ''""),0))"),"")</f>
        <v/>
      </c>
      <c r="D60" s="97" t="str">
        <f>IFERROR(__xludf.DUMMYFUNCTION("IF(ISBLANK($A60),"""",IFNA(QUERY('1. Karten'!$A:$Q,""select count(A) where (C="" &amp; $A$4 &amp; "" AND D LIKE '%"" &amp; $A60 &amp; ""%' AND J='"" &amp; D$36 &amp; ""') label Count(A) ''""),0))"),"")</f>
        <v/>
      </c>
      <c r="E60" s="140" t="str">
        <f t="shared" si="4"/>
        <v/>
      </c>
      <c r="F60" s="141" t="str">
        <f t="shared" si="5"/>
        <v/>
      </c>
    </row>
    <row r="61">
      <c r="B61" s="97" t="str">
        <f>IFERROR(__xludf.DUMMYFUNCTION("IF(ISBLANK($A61),"""",IFNA(QUERY('1. Karten'!$A:$Q,""select count(A) where (C="" &amp; $A$4 &amp; "" AND D LIKE '%"" &amp; $A61 &amp; ""%' AND J='"" &amp; B$36 &amp; ""') label Count(A) ''""),0))"),"")</f>
        <v/>
      </c>
      <c r="C61" s="97" t="str">
        <f>IFERROR(__xludf.DUMMYFUNCTION("IF(ISBLANK($A61),"""",IFNA(QUERY('1. Karten'!$A:$Q,""select count(A) where (C="" &amp; $A$4 &amp; "" AND D LIKE '%"" &amp; $A61 &amp; ""%' AND J='"" &amp; C$36 &amp; ""') label Count(A) ''""),0))"),"")</f>
        <v/>
      </c>
      <c r="D61" s="97" t="str">
        <f>IFERROR(__xludf.DUMMYFUNCTION("IF(ISBLANK($A61),"""",IFNA(QUERY('1. Karten'!$A:$Q,""select count(A) where (C="" &amp; $A$4 &amp; "" AND D LIKE '%"" &amp; $A61 &amp; ""%' AND J='"" &amp; D$36 &amp; ""') label Count(A) ''""),0))"),"")</f>
        <v/>
      </c>
      <c r="E61" s="140" t="str">
        <f t="shared" si="4"/>
        <v/>
      </c>
      <c r="F61" s="141" t="str">
        <f t="shared" si="5"/>
        <v/>
      </c>
    </row>
    <row r="62">
      <c r="B62" s="97" t="str">
        <f>IFERROR(__xludf.DUMMYFUNCTION("IF(ISBLANK($A62),"""",IFNA(QUERY('1. Karten'!$A:$Q,""select count(A) where (C="" &amp; $A$4 &amp; "" AND D LIKE '%"" &amp; $A62 &amp; ""%' AND J='"" &amp; B$36 &amp; ""') label Count(A) ''""),0))"),"")</f>
        <v/>
      </c>
      <c r="C62" s="97" t="str">
        <f>IFERROR(__xludf.DUMMYFUNCTION("IF(ISBLANK($A62),"""",IFNA(QUERY('1. Karten'!$A:$Q,""select count(A) where (C="" &amp; $A$4 &amp; "" AND D LIKE '%"" &amp; $A62 &amp; ""%' AND J='"" &amp; C$36 &amp; ""') label Count(A) ''""),0))"),"")</f>
        <v/>
      </c>
      <c r="D62" s="97" t="str">
        <f>IFERROR(__xludf.DUMMYFUNCTION("IF(ISBLANK($A62),"""",IFNA(QUERY('1. Karten'!$A:$Q,""select count(A) where (C="" &amp; $A$4 &amp; "" AND D LIKE '%"" &amp; $A62 &amp; ""%' AND J='"" &amp; D$36 &amp; ""') label Count(A) ''""),0))"),"")</f>
        <v/>
      </c>
      <c r="E62" s="140" t="str">
        <f t="shared" si="4"/>
        <v/>
      </c>
      <c r="F62" s="141" t="str">
        <f t="shared" si="5"/>
        <v/>
      </c>
    </row>
    <row r="63">
      <c r="B63" s="97" t="str">
        <f>IFERROR(__xludf.DUMMYFUNCTION("IF(ISBLANK($A63),"""",IFNA(QUERY('1. Karten'!$A:$Q,""select count(A) where (C="" &amp; $A$4 &amp; "" AND D LIKE '%"" &amp; $A63 &amp; ""%' AND J='"" &amp; B$36 &amp; ""') label Count(A) ''""),0))"),"")</f>
        <v/>
      </c>
      <c r="C63" s="97" t="str">
        <f>IFERROR(__xludf.DUMMYFUNCTION("IF(ISBLANK($A63),"""",IFNA(QUERY('1. Karten'!$A:$Q,""select count(A) where (C="" &amp; $A$4 &amp; "" AND D LIKE '%"" &amp; $A63 &amp; ""%' AND J='"" &amp; C$36 &amp; ""') label Count(A) ''""),0))"),"")</f>
        <v/>
      </c>
      <c r="D63" s="97" t="str">
        <f>IFERROR(__xludf.DUMMYFUNCTION("IF(ISBLANK($A63),"""",IFNA(QUERY('1. Karten'!$A:$Q,""select count(A) where (C="" &amp; $A$4 &amp; "" AND D LIKE '%"" &amp; $A63 &amp; ""%' AND J='"" &amp; D$36 &amp; ""') label Count(A) ''""),0))"),"")</f>
        <v/>
      </c>
      <c r="E63" s="140" t="str">
        <f t="shared" si="4"/>
        <v/>
      </c>
      <c r="F63" s="141" t="str">
        <f t="shared" si="5"/>
        <v/>
      </c>
    </row>
  </sheetData>
  <conditionalFormatting sqref="I21:I36">
    <cfRule type="colorScale" priority="1">
      <colorScale>
        <cfvo type="min"/>
        <cfvo type="percentile" val="50"/>
        <cfvo type="max"/>
        <color rgb="FFE06666"/>
        <color rgb="FFFFD666"/>
        <color rgb="FF6AA84F"/>
      </colorScale>
    </cfRule>
  </conditionalFormatting>
  <conditionalFormatting sqref="B22:D34">
    <cfRule type="colorScale" priority="2">
      <colorScale>
        <cfvo type="min"/>
        <cfvo type="percentile" val="50"/>
        <cfvo type="max"/>
        <color rgb="FFE06666"/>
        <color rgb="FFFFD666"/>
        <color rgb="FF38761D"/>
      </colorScale>
    </cfRule>
  </conditionalFormatting>
  <conditionalFormatting sqref="B37:D63 E57">
    <cfRule type="colorScale" priority="3">
      <colorScale>
        <cfvo type="min"/>
        <cfvo type="percentile" val="50"/>
        <cfvo type="max"/>
        <color rgb="FFE06666"/>
        <color rgb="FFFFD666"/>
        <color rgb="FF6AA84F"/>
      </colorScale>
    </cfRule>
  </conditionalFormatting>
  <conditionalFormatting sqref="E22:E34">
    <cfRule type="colorScale" priority="4">
      <colorScale>
        <cfvo type="min"/>
        <cfvo type="percentile" val="50"/>
        <cfvo type="max"/>
        <color rgb="FFE06666"/>
        <color rgb="FFFFD666"/>
        <color rgb="FF6AA84F"/>
      </colorScale>
    </cfRule>
  </conditionalFormatting>
  <conditionalFormatting sqref="E37:E63">
    <cfRule type="colorScale" priority="5">
      <colorScale>
        <cfvo type="min"/>
        <cfvo type="percentile" val="50"/>
        <cfvo type="max"/>
        <color rgb="FFE06666"/>
        <color rgb="FFFFD666"/>
        <color rgb="FF6AA84F"/>
      </colorScale>
    </cfRule>
  </conditionalFormatting>
  <conditionalFormatting sqref="C2:F8">
    <cfRule type="colorScale" priority="6">
      <colorScale>
        <cfvo type="min"/>
        <cfvo type="percentile" val="50"/>
        <cfvo type="max"/>
        <color rgb="FFE06666"/>
        <color rgb="FFFFD666"/>
        <color rgb="FF93C47D"/>
      </colorScale>
    </cfRule>
  </conditionalFormatting>
  <conditionalFormatting sqref="D9:F18">
    <cfRule type="colorScale" priority="7">
      <colorScale>
        <cfvo type="min"/>
        <cfvo type="percentile" val="50"/>
        <cfvo type="max"/>
        <color rgb="FFE06666"/>
        <color rgb="FFFFD666"/>
        <color rgb="FF93C47D"/>
      </colorScale>
    </cfRule>
  </conditionalFormatting>
  <conditionalFormatting sqref="C9:C18">
    <cfRule type="colorScale" priority="8">
      <colorScale>
        <cfvo type="min"/>
        <cfvo type="percentile" val="50"/>
        <cfvo type="max"/>
        <color rgb="FFE06666"/>
        <color rgb="FFFFD666"/>
        <color rgb="FF93C47D"/>
      </colorScale>
    </cfRule>
  </conditionalFormatting>
  <conditionalFormatting sqref="J21:N36">
    <cfRule type="colorScale" priority="9">
      <colorScale>
        <cfvo type="min"/>
        <cfvo type="percentile" val="50"/>
        <cfvo type="max"/>
        <color rgb="FFE06666"/>
        <color rgb="FFFFD666"/>
        <color rgb="FF93C47D"/>
      </colorScale>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2.0"/>
    <col customWidth="1" min="5" max="5" width="96.86"/>
  </cols>
  <sheetData>
    <row r="1">
      <c r="A1" s="1" t="s">
        <v>0</v>
      </c>
      <c r="B1" s="2" t="s">
        <v>1</v>
      </c>
      <c r="C1" s="3" t="s">
        <v>2</v>
      </c>
      <c r="D1" s="4" t="s">
        <v>3</v>
      </c>
      <c r="E1" s="2" t="s">
        <v>4</v>
      </c>
      <c r="F1" s="5" t="s">
        <v>1444</v>
      </c>
      <c r="G1" s="5" t="s">
        <v>1445</v>
      </c>
      <c r="H1" s="5" t="s">
        <v>1446</v>
      </c>
      <c r="I1" s="159" t="s">
        <v>6</v>
      </c>
      <c r="J1" s="160" t="s">
        <v>7</v>
      </c>
      <c r="K1" s="160" t="s">
        <v>8</v>
      </c>
      <c r="L1" s="161" t="s">
        <v>9</v>
      </c>
      <c r="M1" s="162" t="s">
        <v>10</v>
      </c>
      <c r="N1" s="19" t="s">
        <v>11</v>
      </c>
      <c r="O1" s="19" t="s">
        <v>12</v>
      </c>
      <c r="P1" s="19" t="s">
        <v>13</v>
      </c>
      <c r="Q1" s="19" t="s">
        <v>14</v>
      </c>
      <c r="R1" s="19" t="s">
        <v>15</v>
      </c>
      <c r="S1" s="19" t="s">
        <v>16</v>
      </c>
    </row>
    <row r="2">
      <c r="A2" s="13" t="s">
        <v>1447</v>
      </c>
      <c r="B2" s="13" t="s">
        <v>1448</v>
      </c>
      <c r="D2" s="13" t="s">
        <v>1449</v>
      </c>
      <c r="E2" s="13" t="s">
        <v>1450</v>
      </c>
      <c r="I2" s="13" t="s">
        <v>1451</v>
      </c>
      <c r="J2" s="13">
        <v>2.0</v>
      </c>
      <c r="K2" s="13" t="s">
        <v>738</v>
      </c>
      <c r="L2" s="13" t="s">
        <v>42</v>
      </c>
      <c r="P2" s="13" t="s">
        <v>1452</v>
      </c>
      <c r="Q2" s="13" t="s">
        <v>1449</v>
      </c>
      <c r="R2" s="13" t="s">
        <v>1452</v>
      </c>
      <c r="S2" s="13">
        <v>3.0</v>
      </c>
    </row>
    <row r="3">
      <c r="A3" s="22" t="s">
        <v>1453</v>
      </c>
      <c r="B3" s="83" t="s">
        <v>13</v>
      </c>
      <c r="C3" s="11"/>
      <c r="D3" s="11" t="s">
        <v>1162</v>
      </c>
      <c r="E3" s="10" t="s">
        <v>1454</v>
      </c>
      <c r="F3" s="10" t="str">
        <f>IFERROR(__xludf.DUMMYFUNCTION("IF($L3=""Common"",IF(REGEXMATCH($E3,""Wizard""),""Wizard "","""")&amp;IF(REGEXMATCH($E3,""Construct""),""Construct "","""")&amp;IF(REGEXMATCH($E3,""Insect""),""Insect "","""")&amp;IF(REGEXMATCH($E3,""Dragon""),""Dragon "","""")&amp;IF(REGEXMATCH($E3,""Human""),""Human """&amp;","""")&amp;IF(REGEXMATCH($E3,""Hunter""),""Hunter "","""")&amp;IF(REGEXMATCH($E3,""Animal""),""Animal "","""")&amp;IF(REGEXMATCH($E3,""Undead""),""Undead "","""")&amp;IF(REGEXMATCH($E3,""Plant""),""Plant "","""")&amp;IF(REGEXMATCH($E3,""Dinosaur""),""Dinosaur "","""")&amp;IF(REG"&amp;"EXMATCH($E3,""Warrior""),""Warrior "","""")&amp;IF(REGEXMATCH($E3,""Spirit""),""Spirit "","""")&amp;IF(REGEXMATCH($E3,""Angel""),""Angel "","""")&amp;IF(REGEXMATCH($E3,""Demon""),""Demon "","""")&amp;IF(REGEXMATCH($E3,""Divine""),""Divine "","""")&amp;IF(REGEXMATCH($E3,""Ele"&amp;"mental""),""Elemental "","""")&amp;IF(REGEXMATCH($E3,""Nature""),""Nature "","""")&amp;IF(REGEXMATCH($E3,""Mortal""),""Mortal "","""")&amp;IF(REGEXMATCH($E3,""Void""),""Void "","""")&amp;IF(REGEXMATCH($E3,""Unearth|Ambush|Ritual|unearth|ambush|ritual""),""Unearth "","""""&amp;")&amp;IF(REGEXMATCH($E3,""Unleash|Crystallize|all realms|Crystalborn|crystallize""),""Ramp "","""")&amp;IF(REGEXMATCH($E3,""Demon""),""Demon "","""")&amp;IF(REGEXMATCH($E3,""bury|buries|Bury|Buries|Cleanse|puts a Unit|trail|Trail""),""Control "","""")&amp;IF(REGEXMATCH($"&amp;"E3,""Bounce|Return|Copy|bounce|return|copy""),""Copy "","""")&amp;IF(REGEXMATCH($E3,""conquer|Conquer|leading in lanes|lead by""),""Aggro "","""")&amp;IF(REGEXMATCH($E3,""Ascend|ascend""),""Ascend "","""")&amp;IF(REGEXMATCH($E3,""Bury .+ Crystal|.*crystal.*bury""),"""&amp;"Empty-Crystal"","""")&amp;IF(REGEXMATCH($E3,""Move|move""),""Move"",""""),"""")"),"")</f>
        <v/>
      </c>
      <c r="G3" s="10" t="str">
        <f>IFERROR(__xludf.DUMMYFUNCTION("IF($L3=""Uncommon"",IF(REGEXMATCH($E3,""Wizard""),""Wizard "","""")&amp;IF(REGEXMATCH($E3,""Construct""),""Construct "","""")&amp;IF(REGEXMATCH($E3,""Insect""),""Insect "","""")&amp;IF(REGEXMATCH($E3,""Dragon""),""Dragon "","""")&amp;IF(REGEXMATCH($E3,""Human""),""Human "&amp;""","""")&amp;IF(REGEXMATCH($E3,""Hunter""),""Hunter "","""")&amp;IF(REGEXMATCH($E3,""Animal""),""Animal "","""")&amp;IF(REGEXMATCH($E3,""Undead""),""Undead "","""")&amp;IF(REGEXMATCH($E3,""Plant""),""Plant "","""")&amp;IF(REGEXMATCH($E3,""Dinosaur""),""Dinosaur "","""")&amp;IF(R"&amp;"EGEXMATCH($E3,""Warrior""),""Warrior "","""")&amp;IF(REGEXMATCH($E3,""Spirit""),""Spirit "","""")&amp;IF(REGEXMATCH($E3,""Angel""),""Angel "","""")&amp;IF(REGEXMATCH($E3,""Demon""),""Demon "","""")&amp;IF(REGEXMATCH($E3,""Divine""),""Divine "","""")&amp;IF(REGEXMATCH($E3,""E"&amp;"lemental""),""Elemental "","""")&amp;IF(REGEXMATCH($E3,""Nature""),""Nature "","""")&amp;IF(REGEXMATCH($E3,""Mortal""),""Mortal "","""")&amp;IF(REGEXMATCH($E3,""Void""),""Void "","""")&amp;IF(REGEXMATCH($E3,""Unearth|Ambush|Ritual|unearth|ambush|ritual""),""Unearth "","""&amp;""")&amp;IF(REGEXMATCH($E3,""Unleash|Crystallize|all realms|Crystalborn|crystallize""),""Ramp "","""")&amp;IF(REGEXMATCH($E3,""bury|buries|Bury|Buries|Cleanse|puts a Unit|trail|Trail""),""Control "","""")&amp;IF(REGEXMATCH($E3,""Bounce|Return|Copy|bounce|return|copy"""&amp;"),""Copy "","""")&amp;IF(REGEXMATCH($E3,""conquer|Conquer|leading in lanes|lead by""),""Aggro "","""")&amp;IF(REGEXMATCH($E3,""Ascend|ascend""),""Ascend "","""")&amp;IF(REGEXMATCH($E3,""Bury .+ Crystal|.*crystal.*bury""),""Empty-Crystal"","""")&amp;IF(REGEXMATCH($E3,""Mo"&amp;"ve|move""),""Move"",""""),"""")"),"")</f>
        <v/>
      </c>
      <c r="H3" s="10" t="str">
        <f>IFERROR(__xludf.DUMMYFUNCTION("IF($L3=""Rare"",IF(REGEXMATCH($E3,""Wizard""),""Wizard "","""")&amp;IF(REGEXMATCH($E3,""Construct""),""Construct "","""")&amp;IF(REGEXMATCH($E3,""Insect""),""Insect "","""")&amp;IF(REGEXMATCH($E3,""Dragon""),""Dragon "","""")&amp;IF(REGEXMATCH($E3,""Human""),""Human "","&amp;""""")&amp;IF(REGEXMATCH($E3,""Hunter""),""Hunter "","""")&amp;IF(REGEXMATCH($E3,""Animal""),""Animal "","""")&amp;IF(REGEXMATCH($E3,""Undead""),""Undead "","""")&amp;IF(REGEXMATCH($E3,""Plant""),""Plant "","""")&amp;IF(REGEXMATCH($E3,""Dinosaur""),""Dinosaur "","""")&amp;IF(REGE"&amp;"XMATCH($E3,""Warrior""),""Warrior "","""")&amp;IF(REGEXMATCH($E3,""Spirit""),""Spirit "","""")&amp;IF(REGEXMATCH($E3,""Angel""),""Angel "","""")&amp;IF(REGEXMATCH($E3,""Demon""),""Demon "","""")&amp;IF(REGEXMATCH($E3,""Divine""),""Divine "","""")&amp;IF(REGEXMATCH($E3,""Elem"&amp;"ental""),""Elemental "","""")&amp;IF(REGEXMATCH($E3,""Nature""),""Nature "","""")&amp;IF(REGEXMATCH($E3,""Mortal""),""Mortal "","""")&amp;IF(REGEXMATCH($E3,""Void""),""Void "","""")&amp;IF(REGEXMATCH($E3,""Unearth|Ambush|Ritual|unearth|ambush|ritual""),""Unearth "","""")"&amp;"&amp;IF(REGEXMATCH($E3,""Unleash|Crystallize|all realms|Crystalborn|crystallize""),""Ramp "","""")&amp;IF(REGEXMATCH($E3,""Demon""),""Demon "","""")&amp;IF(REGEXMATCH($E3,""bury|buries|Bury|Buries|Cleanse|puts a Unit|trail|Trail""),""Control "","""")&amp;IF(REGEXMATCH($E"&amp;"3,""Bounce|Return|Copy|bounce|return|copy""),""Copy "","""")&amp;IF(REGEXMATCH($E3,""conquer|Conquer|leading in lanes|lead by""),""Aggro "","""")&amp;IF(REGEXMATCH($E3,""Ascend|ascend""),""Ascend "","""")&amp;IF(REGEXMATCH($E3,""Bury .+ Crystal|.*crystal.*bury""),""E"&amp;"mpty-Crystal"","""")&amp;IF(REGEXMATCH($E3,""Move|move""),""Move"",""""),"""")"),"Void Control Empty-Crystal")</f>
        <v>Void Control Empty-Crystal</v>
      </c>
      <c r="I3" s="12" t="s">
        <v>1455</v>
      </c>
      <c r="J3" s="11">
        <v>0.0</v>
      </c>
      <c r="K3" s="11" t="s">
        <v>1456</v>
      </c>
      <c r="L3" s="11" t="s">
        <v>33</v>
      </c>
      <c r="N3" s="13" t="str">
        <f>IFERROR(__xludf.DUMMYFUNCTION("IF(REGEXMATCH($B3,'1. Karten'!L$1),$D3,"""")"),"")</f>
        <v/>
      </c>
      <c r="O3" s="13" t="str">
        <f>IFERROR(__xludf.DUMMYFUNCTION("IF(REGEXMATCH($B3,'1. Karten'!M$1),$D3,"""")"),"")</f>
        <v/>
      </c>
      <c r="P3" s="13" t="str">
        <f>IFERROR(__xludf.DUMMYFUNCTION("IF(REGEXMATCH($B3,'1. Karten'!N$1),$D3,"""")"),"Demon")</f>
        <v>Demon</v>
      </c>
      <c r="Q3" s="13" t="str">
        <f>IFERROR(__xludf.DUMMYFUNCTION("IF(REGEXMATCH($B3,'1. Karten'!O$1),$D3,"""")"),"")</f>
        <v/>
      </c>
      <c r="R3" s="13" t="str">
        <f>IFERROR(__xludf.DUMMYFUNCTION("IF(REGEXMATCH($B3,'1. Karten'!P$1),$D3,"""")"),"")</f>
        <v/>
      </c>
      <c r="S3" s="13">
        <f>IFERROR(__xludf.DUMMYFUNCTION("IF($A3="""","""",LEN(REGEXREPLACE($K3,"",\s?"","""")))"),7.0)</f>
        <v>7</v>
      </c>
    </row>
    <row r="4">
      <c r="A4" s="19" t="s">
        <v>1457</v>
      </c>
      <c r="B4" s="80" t="s">
        <v>12</v>
      </c>
      <c r="C4" s="18"/>
      <c r="D4" s="18" t="s">
        <v>317</v>
      </c>
      <c r="E4" s="19" t="s">
        <v>1458</v>
      </c>
      <c r="F4" s="10" t="str">
        <f>IFERROR(__xludf.DUMMYFUNCTION("IF(REGEXMATCH($E4,""Wizard""),""Wizard "","""")&amp;IF(REGEXMATCH($E4,""Construct""),""Construct "","""")&amp;IF(REGEXMATCH($E4,""Insect""),""Insect "","""")&amp;IF(REGEXMATCH($E4,""Dragon""),""Dragon "","""")&amp;IF(REGEXMATCH($E4,""Human""),""Human "","""")&amp;IF(REGEXMAT"&amp;"CH($E4,""Hunter""),""Hunter "","""")&amp;IF(REGEXMATCH($E4,""Animal""),""Animal "","""")&amp;IF(REGEXMATCH($E4,""Undead""),""Undead "","""")&amp;IF(REGEXMATCH($E4,""Plant""),""Plant "","""")&amp;IF(REGEXMATCH($E4,""Dinosaur""),""Dinosaur "","""")&amp;IF(REGEXMATCH($E4,""Warr"&amp;"ior""),""Warrior "","""")&amp;IF(REGEXMATCH($E4,""Spirit""),""Spirit "","""")&amp;IF(REGEXMATCH($E4,""Angel""),""Angel "","""")&amp;IF(REGEXMATCH($E4,""Demon""),""Demon "","""")&amp;IF(REGEXMATCH($E4,""Divine""),""Divine "","""")&amp;IF(REGEXMATCH($E4,""Elemental""),""Elemen"&amp;"tal "","""")&amp;IF(REGEXMATCH($E4,""Nature""),""Nature "","""")&amp;IF(REGEXMATCH($E4,""Mortal""),""Mortal "","""")&amp;IF(REGEXMATCH($E4,""Void""),""Void "","""")&amp;IF(REGEXMATCH($E4,""Unearth|Ambush|Ritual|unearth|ambush|ritual""),""Unearth "","""")&amp;IF(REGEXMATCH($E"&amp;"4,""Unleash|Crystallize|all realms|Crystalborn|crystallize""),""Ramp "","""")&amp;IF(REGEXMATCH($E4,""Demon""),""Demon "","""")&amp;IF(REGEXMATCH($E4,""bury|buries|Bury|Buries|Cleanse|puts a Unit|trail|Trail""),""Control "","""")&amp;IF(REGEXMATCH($E4,""Bounce|Return"&amp;"|Copy|bounce|return|copy""),""Copy "","""")&amp;IF(REGEXMATCH($E4,""conquer|Conquer|leading in lanes|lead by""),""Aggro "","""")&amp;IF(REGEXMATCH($E4,""Ascend|ascend""),""Ascend "","""")&amp;IF(REGEXMATCH($E4,""Bury .+ Crystal|.*crystal.*bury""),""Empty-Crystal"","""&amp;""")&amp;IF(REGEXMATCH($E4,""Move|move""),""Move"","""")"),"Control ")</f>
        <v>Control </v>
      </c>
      <c r="G4" s="20" t="s">
        <v>1459</v>
      </c>
      <c r="H4" s="18">
        <v>0.0</v>
      </c>
      <c r="I4" s="18" t="s">
        <v>953</v>
      </c>
      <c r="J4" s="18" t="s">
        <v>50</v>
      </c>
      <c r="L4" s="13" t="str">
        <f>IFERROR(__xludf.DUMMYFUNCTION("IF(REGEXMATCH($B4,'1. Karten'!L$1),$D4,"""")"),"")</f>
        <v/>
      </c>
      <c r="M4" s="13" t="str">
        <f>IFERROR(__xludf.DUMMYFUNCTION("IF(REGEXMATCH($B4,'1. Karten'!M$1),$D4,"""")"),"Spirit")</f>
        <v>Spirit</v>
      </c>
      <c r="N4" s="13" t="str">
        <f>IFERROR(__xludf.DUMMYFUNCTION("IF(REGEXMATCH($B4,'1. Karten'!N$1),$D4,"""")"),"")</f>
        <v/>
      </c>
      <c r="O4" s="13" t="str">
        <f>IFERROR(__xludf.DUMMYFUNCTION("IF(REGEXMATCH($B4,'1. Karten'!O$1),$D4,"""")"),"")</f>
        <v/>
      </c>
      <c r="P4" s="13" t="str">
        <f>IFERROR(__xludf.DUMMYFUNCTION("IF(REGEXMATCH($B4,'1. Karten'!P$1),$D4,"""")"),"")</f>
        <v/>
      </c>
      <c r="Q4" s="13">
        <f>IFERROR(__xludf.DUMMYFUNCTION("IF($A4="""","""",LEN(REGEXREPLACE($I4,"",\s?"","""")))"),4.0)</f>
        <v>4</v>
      </c>
    </row>
    <row r="5">
      <c r="A5" s="10" t="s">
        <v>1460</v>
      </c>
      <c r="B5" s="16" t="s">
        <v>15</v>
      </c>
      <c r="C5" s="11">
        <v>1.0</v>
      </c>
      <c r="D5" s="11" t="s">
        <v>29</v>
      </c>
      <c r="E5" s="26" t="s">
        <v>264</v>
      </c>
      <c r="F5" s="10" t="str">
        <f>IFERROR(__xludf.DUMMYFUNCTION("IF(REGEXMATCH($E5,""Wizard""),""Wizard "","""")&amp;IF(REGEXMATCH($E5,""Construct""),""Construct "","""")&amp;IF(REGEXMATCH($E5,""Insect""),""Insect "","""")&amp;IF(REGEXMATCH($E5,""Dragon""),""Dragon "","""")&amp;IF(REGEXMATCH($E5,""Human""),""Human "","""")&amp;IF(REGEXMAT"&amp;"CH($E5,""Hunter""),""Hunter "","""")&amp;IF(REGEXMATCH($E5,""Animal""),""Animal "","""")&amp;IF(REGEXMATCH($E5,""Undead""),""Undead "","""")&amp;IF(REGEXMATCH($E5,""Plant""),""Plant "","""")&amp;IF(REGEXMATCH($E5,""Dinosaur""),""Dinosaur "","""")&amp;IF(REGEXMATCH($E5,""Warr"&amp;"ior""),""Warrior "","""")&amp;IF(REGEXMATCH($E5,""Spirit""),""Spirit "","""")&amp;IF(REGEXMATCH($E5,""Angel""),""Angel "","""")&amp;IF(REGEXMATCH($E5,""Demon""),""Demon "","""")&amp;IF(REGEXMATCH($E5,""Divine""),""Divine "","""")&amp;IF(REGEXMATCH($E5,""Elemental""),""Elemen"&amp;"tal "","""")&amp;IF(REGEXMATCH($E5,""Nature""),""Nature "","""")&amp;IF(REGEXMATCH($E5,""Mortal""),""Mortal "","""")&amp;IF(REGEXMATCH($E5,""Void""),""Void "","""")&amp;IF(REGEXMATCH($E5,""Unearth|Ambush|Ritual|unearth|ambush|ritual""),""Unearth "","""")&amp;IF(REGEXMATCH($E"&amp;"5,""Unleash|Crystallize|all realms|Crystalborn|crystallize""),""Ramp "","""")&amp;IF(REGEXMATCH($E5,""Demon""),""Demon "","""")&amp;IF(REGEXMATCH($E5,""bury|buries|Bury|Buries|Cleanse|puts a Unit|trail|Trail""),""Control "","""")&amp;IF(REGEXMATCH($E5,""Bounce|Return"&amp;"|Copy|bounce|return|copy""),""Copy "","""")&amp;IF(REGEXMATCH($E5,""conquer|Conquer|leading in lanes|lead by""),""Aggro "","""")&amp;IF(REGEXMATCH($E5,""Ascend|ascend""),""Ascend "","""")&amp;IF(REGEXMATCH($E5,""Bury .+ Crystal|.*crystal.*bury""),""Empty-Crystal"","""&amp;""")&amp;IF(REGEXMATCH($E5,""Move|move""),""Move"","""")"),"")</f>
        <v/>
      </c>
      <c r="G5" s="12" t="s">
        <v>40</v>
      </c>
      <c r="H5" s="11">
        <v>6.0</v>
      </c>
      <c r="I5" s="11" t="s">
        <v>69</v>
      </c>
      <c r="J5" s="11" t="s">
        <v>42</v>
      </c>
      <c r="L5" s="13" t="str">
        <f>IFERROR(__xludf.DUMMYFUNCTION("IF(REGEXMATCH($B5,'1. Karten'!L$1),$D5,"""")"),"")</f>
        <v/>
      </c>
      <c r="M5" s="13" t="str">
        <f>IFERROR(__xludf.DUMMYFUNCTION("IF(REGEXMATCH($B5,'1. Karten'!M$1),$D5,"""")"),"")</f>
        <v/>
      </c>
      <c r="N5" s="13" t="str">
        <f>IFERROR(__xludf.DUMMYFUNCTION("IF(REGEXMATCH($B5,'1. Karten'!N$1),$D5,"""")"),"")</f>
        <v/>
      </c>
      <c r="O5" s="13" t="str">
        <f>IFERROR(__xludf.DUMMYFUNCTION("IF(REGEXMATCH($B5,'1. Karten'!O$1),$D5,"""")"),"")</f>
        <v/>
      </c>
      <c r="P5" s="13" t="str">
        <f>IFERROR(__xludf.DUMMYFUNCTION("IF(REGEXMATCH($B5,'1. Karten'!P$1),$D5,"""")"),"Angel")</f>
        <v>Angel</v>
      </c>
      <c r="Q5" s="13">
        <f>IFERROR(__xludf.DUMMYFUNCTION("IF($A5="""","""",LEN(REGEXREPLACE($I5,"",\s?"","""")))"),6.0)</f>
        <v>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9.14"/>
    <col customWidth="1" min="2" max="2" width="16.0"/>
    <col customWidth="1" min="4" max="4" width="22.43"/>
    <col customWidth="1" min="5" max="5" width="61.29"/>
    <col hidden="1" min="6" max="8" width="14.43"/>
    <col hidden="1" min="13" max="18" width="14.43"/>
  </cols>
  <sheetData>
    <row r="1">
      <c r="A1" s="1" t="s">
        <v>0</v>
      </c>
      <c r="B1" s="2" t="s">
        <v>1</v>
      </c>
      <c r="C1" s="3" t="s">
        <v>2</v>
      </c>
      <c r="D1" s="163" t="s">
        <v>3</v>
      </c>
      <c r="E1" s="2" t="s">
        <v>4</v>
      </c>
      <c r="F1" s="5" t="s">
        <v>1444</v>
      </c>
      <c r="G1" s="5" t="s">
        <v>1445</v>
      </c>
      <c r="H1" s="5" t="s">
        <v>1446</v>
      </c>
      <c r="I1" s="6" t="s">
        <v>6</v>
      </c>
      <c r="J1" s="4" t="s">
        <v>7</v>
      </c>
      <c r="K1" s="4" t="s">
        <v>8</v>
      </c>
      <c r="L1" s="4" t="s">
        <v>9</v>
      </c>
      <c r="M1" s="8" t="s">
        <v>11</v>
      </c>
      <c r="N1" s="8" t="s">
        <v>12</v>
      </c>
      <c r="O1" s="8" t="s">
        <v>13</v>
      </c>
      <c r="P1" s="8" t="s">
        <v>14</v>
      </c>
      <c r="Q1" s="8" t="s">
        <v>15</v>
      </c>
      <c r="R1" s="8" t="s">
        <v>16</v>
      </c>
      <c r="S1" s="164"/>
      <c r="T1" s="164"/>
      <c r="U1" s="164"/>
      <c r="V1" s="164"/>
      <c r="W1" s="164"/>
      <c r="X1" s="164"/>
      <c r="Y1" s="164"/>
      <c r="Z1" s="164"/>
      <c r="AA1" s="164"/>
      <c r="AB1" s="164"/>
      <c r="AC1" s="164"/>
      <c r="AD1" s="164"/>
    </row>
    <row r="2">
      <c r="A2" s="19" t="s">
        <v>1461</v>
      </c>
      <c r="B2" s="19" t="s">
        <v>15</v>
      </c>
      <c r="C2" s="18">
        <v>3.0</v>
      </c>
      <c r="D2" s="19" t="s">
        <v>1462</v>
      </c>
      <c r="E2" s="19" t="s">
        <v>1463</v>
      </c>
      <c r="I2" s="56"/>
      <c r="J2" s="18">
        <v>4.0</v>
      </c>
      <c r="K2" s="18" t="s">
        <v>87</v>
      </c>
      <c r="L2" s="19" t="s">
        <v>50</v>
      </c>
    </row>
    <row r="3">
      <c r="A3" s="19" t="s">
        <v>1464</v>
      </c>
      <c r="B3" s="19" t="s">
        <v>13</v>
      </c>
      <c r="C3" s="18">
        <v>3.0</v>
      </c>
      <c r="D3" s="19" t="s">
        <v>1465</v>
      </c>
      <c r="E3" s="19" t="s">
        <v>1466</v>
      </c>
      <c r="I3" s="20" t="s">
        <v>1467</v>
      </c>
      <c r="J3" s="18">
        <v>3.0</v>
      </c>
      <c r="K3" s="18" t="s">
        <v>1468</v>
      </c>
      <c r="L3" s="19" t="s">
        <v>33</v>
      </c>
    </row>
    <row r="4">
      <c r="A4" s="19" t="s">
        <v>1469</v>
      </c>
      <c r="B4" s="19" t="s">
        <v>14</v>
      </c>
      <c r="C4" s="18">
        <v>3.0</v>
      </c>
      <c r="D4" s="19" t="s">
        <v>44</v>
      </c>
      <c r="E4" s="19" t="s">
        <v>1470</v>
      </c>
      <c r="I4" s="56"/>
      <c r="J4" s="18">
        <v>1.0</v>
      </c>
      <c r="K4" s="18" t="s">
        <v>752</v>
      </c>
      <c r="L4" s="19" t="s">
        <v>42</v>
      </c>
    </row>
    <row r="5">
      <c r="A5" s="19" t="s">
        <v>1471</v>
      </c>
      <c r="B5" s="19" t="s">
        <v>11</v>
      </c>
      <c r="C5" s="18">
        <v>3.0</v>
      </c>
      <c r="D5" s="19" t="s">
        <v>469</v>
      </c>
      <c r="E5" s="19" t="s">
        <v>1472</v>
      </c>
      <c r="I5" s="56"/>
      <c r="J5" s="18">
        <v>3.0</v>
      </c>
      <c r="K5" s="18" t="s">
        <v>403</v>
      </c>
      <c r="L5" s="19" t="s">
        <v>42</v>
      </c>
    </row>
    <row r="6">
      <c r="A6" s="19" t="s">
        <v>1473</v>
      </c>
      <c r="B6" s="19" t="s">
        <v>694</v>
      </c>
      <c r="C6" s="18">
        <v>3.0</v>
      </c>
      <c r="D6" s="19" t="s">
        <v>1474</v>
      </c>
      <c r="E6" s="19" t="s">
        <v>1475</v>
      </c>
      <c r="I6" s="20" t="s">
        <v>1476</v>
      </c>
      <c r="J6" s="18">
        <v>6.0</v>
      </c>
      <c r="K6" s="18" t="s">
        <v>1477</v>
      </c>
      <c r="L6" s="19" t="s">
        <v>50</v>
      </c>
    </row>
    <row r="7">
      <c r="A7" s="19" t="s">
        <v>1478</v>
      </c>
      <c r="B7" s="19" t="s">
        <v>312</v>
      </c>
      <c r="C7" s="18">
        <v>3.0</v>
      </c>
      <c r="D7" s="19" t="s">
        <v>1479</v>
      </c>
      <c r="E7" s="19" t="s">
        <v>1480</v>
      </c>
      <c r="I7" s="20" t="s">
        <v>1481</v>
      </c>
      <c r="J7" s="18">
        <v>5.0</v>
      </c>
      <c r="K7" s="18" t="s">
        <v>1482</v>
      </c>
      <c r="L7" s="19" t="s">
        <v>33</v>
      </c>
    </row>
    <row r="8">
      <c r="A8" s="19" t="s">
        <v>1483</v>
      </c>
      <c r="B8" s="19" t="s">
        <v>12</v>
      </c>
      <c r="C8" s="18">
        <v>3.0</v>
      </c>
      <c r="D8" s="19" t="s">
        <v>1484</v>
      </c>
      <c r="E8" s="19" t="s">
        <v>1485</v>
      </c>
      <c r="I8" s="20" t="s">
        <v>1486</v>
      </c>
      <c r="J8" s="18">
        <v>5.0</v>
      </c>
      <c r="K8" s="18" t="s">
        <v>968</v>
      </c>
      <c r="L8" s="19" t="s">
        <v>50</v>
      </c>
    </row>
    <row r="9">
      <c r="A9" s="19" t="s">
        <v>1487</v>
      </c>
      <c r="B9" s="19" t="s">
        <v>15</v>
      </c>
      <c r="C9" s="18">
        <v>3.0</v>
      </c>
      <c r="D9" s="19" t="s">
        <v>139</v>
      </c>
      <c r="E9" s="19" t="s">
        <v>1488</v>
      </c>
      <c r="I9" s="20"/>
      <c r="J9" s="18">
        <v>2.0</v>
      </c>
      <c r="K9" s="18" t="s">
        <v>121</v>
      </c>
      <c r="L9" s="19" t="s">
        <v>42</v>
      </c>
    </row>
    <row r="10">
      <c r="A10" s="19" t="s">
        <v>1489</v>
      </c>
      <c r="B10" s="19" t="s">
        <v>11</v>
      </c>
      <c r="C10" s="18">
        <v>3.0</v>
      </c>
      <c r="D10" s="19" t="s">
        <v>1490</v>
      </c>
      <c r="E10" s="19" t="s">
        <v>1491</v>
      </c>
      <c r="I10" s="56"/>
      <c r="J10" s="18">
        <v>3.0</v>
      </c>
      <c r="K10" s="18" t="s">
        <v>336</v>
      </c>
      <c r="L10" s="19" t="s">
        <v>42</v>
      </c>
    </row>
    <row r="11">
      <c r="A11" s="19" t="s">
        <v>1492</v>
      </c>
      <c r="B11" s="19" t="s">
        <v>661</v>
      </c>
      <c r="C11" s="18">
        <v>3.0</v>
      </c>
      <c r="D11" s="19" t="s">
        <v>1449</v>
      </c>
      <c r="E11" s="19" t="s">
        <v>1493</v>
      </c>
      <c r="I11" s="56"/>
      <c r="J11" s="18">
        <v>3.0</v>
      </c>
      <c r="K11" s="18" t="s">
        <v>1494</v>
      </c>
      <c r="L11" s="19" t="s">
        <v>50</v>
      </c>
    </row>
    <row r="12">
      <c r="A12" s="19" t="s">
        <v>1495</v>
      </c>
      <c r="B12" s="19" t="s">
        <v>13</v>
      </c>
      <c r="C12" s="18">
        <v>3.0</v>
      </c>
      <c r="D12" s="19" t="s">
        <v>1496</v>
      </c>
      <c r="E12" s="19" t="s">
        <v>1497</v>
      </c>
      <c r="I12" s="20" t="s">
        <v>1498</v>
      </c>
      <c r="J12" s="89"/>
      <c r="K12" s="89"/>
    </row>
    <row r="13">
      <c r="A13" s="19" t="s">
        <v>1499</v>
      </c>
      <c r="B13" s="19" t="s">
        <v>12</v>
      </c>
      <c r="C13" s="18">
        <v>3.0</v>
      </c>
      <c r="D13" s="19" t="s">
        <v>902</v>
      </c>
      <c r="E13" s="19" t="s">
        <v>1500</v>
      </c>
      <c r="I13" s="56"/>
      <c r="J13" s="18">
        <v>3.0</v>
      </c>
      <c r="K13" s="18" t="s">
        <v>960</v>
      </c>
      <c r="L13" s="19" t="s">
        <v>42</v>
      </c>
    </row>
    <row r="14">
      <c r="A14" s="19" t="s">
        <v>1501</v>
      </c>
      <c r="B14" s="19" t="s">
        <v>13</v>
      </c>
      <c r="C14" s="18">
        <v>3.0</v>
      </c>
      <c r="D14" s="19" t="s">
        <v>1502</v>
      </c>
      <c r="E14" s="19" t="s">
        <v>1503</v>
      </c>
      <c r="I14" s="20" t="s">
        <v>1504</v>
      </c>
      <c r="J14" s="18">
        <v>4.0</v>
      </c>
      <c r="K14" s="18" t="s">
        <v>1277</v>
      </c>
      <c r="L14" s="19" t="s">
        <v>50</v>
      </c>
    </row>
    <row r="15">
      <c r="A15" s="19" t="s">
        <v>1505</v>
      </c>
      <c r="B15" s="19" t="s">
        <v>1506</v>
      </c>
      <c r="C15" s="18">
        <v>3.0</v>
      </c>
      <c r="D15" s="19" t="s">
        <v>29</v>
      </c>
      <c r="E15" s="19" t="s">
        <v>1507</v>
      </c>
      <c r="I15" s="20" t="s">
        <v>1508</v>
      </c>
      <c r="J15" s="18">
        <v>3.0</v>
      </c>
      <c r="K15" s="18" t="s">
        <v>1509</v>
      </c>
      <c r="L15" s="19" t="s">
        <v>42</v>
      </c>
    </row>
    <row r="16">
      <c r="A16" s="19" t="s">
        <v>1510</v>
      </c>
      <c r="B16" s="19" t="s">
        <v>11</v>
      </c>
      <c r="C16" s="18">
        <v>3.0</v>
      </c>
      <c r="D16" s="19" t="s">
        <v>1511</v>
      </c>
      <c r="E16" s="19" t="s">
        <v>1512</v>
      </c>
      <c r="I16" s="56"/>
      <c r="J16" s="18">
        <v>5.0</v>
      </c>
      <c r="K16" s="18" t="s">
        <v>571</v>
      </c>
      <c r="L16" s="19" t="s">
        <v>42</v>
      </c>
    </row>
    <row r="17">
      <c r="A17" s="19" t="s">
        <v>1513</v>
      </c>
      <c r="B17" s="17" t="s">
        <v>15</v>
      </c>
      <c r="C17" s="18"/>
      <c r="D17" s="18" t="s">
        <v>125</v>
      </c>
      <c r="E17" s="19" t="s">
        <v>1514</v>
      </c>
      <c r="F17" s="10" t="str">
        <f>IFERROR(__xludf.DUMMYFUNCTION("IF($L17=""Common"",IF(REGEXMATCH($E17,""Wizard""),""Wizard "","""")&amp;IF(REGEXMATCH($E17,""Construct""),""Construct "","""")&amp;IF(REGEXMATCH($E17,""Insect""),""Insect "","""")&amp;IF(REGEXMATCH($E17,""Dragon""),""Dragon "","""")&amp;IF(REGEXMATCH($E17,""Human""),""Hu"&amp;"man "","""")&amp;IF(REGEXMATCH($E17,""Hunter""),""Hunter "","""")&amp;IF(REGEXMATCH($E17,""Animal""),""Animal "","""")&amp;IF(REGEXMATCH($E17,""Undead""),""Undead "","""")&amp;IF(REGEXMATCH($E17,""Plant""),""Plant "","""")&amp;IF(REGEXMATCH($E17,""Dinosaur""),""Dinosaur "","&amp;""""")&amp;IF(REGEXMATCH($E17,""Warrior""),""Warrior "","""")&amp;IF(REGEXMATCH($E17,""Spirit""),""Spirit "","""")&amp;IF(REGEXMATCH($E17,""Angel""),""Angel "","""")&amp;IF(REGEXMATCH($E17,""Demon""),""Demon "","""")&amp;IF(REGEXMATCH($E17,""Divine""),""Divine "","""")&amp;IF(REG"&amp;"EXMATCH($E17,""Elemental""),""Elemental "","""")&amp;IF(REGEXMATCH($E17,""Nature""),""Nature "","""")&amp;IF(REGEXMATCH($E17,""Mortal""),""Mortal "","""")&amp;IF(REGEXMATCH($E17,""Void""),""Void "","""")&amp;IF(REGEXMATCH($E17,""Unearth|Ambush|Ritual|unearth|ambush|ritua"&amp;"l""),""Unearth "","""")&amp;IF(REGEXMATCH($E17,""Unleash|Crystallize|all realms|Crystalborn|crystallize""),""Ramp "","""")&amp;IF(REGEXMATCH($E17,""Demon""),""Demon "","""")&amp;IF(REGEXMATCH($E17,""bury|buries|Bury|Buries|Cleanse|puts a Unit|trail|Trail""),""Control"&amp;" "","""")&amp;IF(REGEXMATCH($E17,""Bounce|Return|Copy|bounce|return|copy""),""Copy "","""")&amp;IF(REGEXMATCH($E17,""conquer|Conquer|leading in lanes|lead by""),""Aggro "","""")&amp;IF(REGEXMATCH($E17,""Ascend|ascend""),""Ascend "","""")&amp;IF(REGEXMATCH($E17,""Bury .+ "&amp;"Crystal|.*crystal.*bury""),""Empty-Crystal"","""")&amp;IF(REGEXMATCH($E17,""Move|move""),""Move"",""""),"""")"),"")</f>
        <v/>
      </c>
      <c r="G17" s="10" t="str">
        <f>IFERROR(__xludf.DUMMYFUNCTION("IF($L17=""Uncommon"",IF(REGEXMATCH($E17,""Wizard""),""Wizard "","""")&amp;IF(REGEXMATCH($E17,""Construct""),""Construct "","""")&amp;IF(REGEXMATCH($E17,""Insect""),""Insect "","""")&amp;IF(REGEXMATCH($E17,""Dragon""),""Dragon "","""")&amp;IF(REGEXMATCH($E17,""Human""),"""&amp;"Human "","""")&amp;IF(REGEXMATCH($E17,""Hunter""),""Hunter "","""")&amp;IF(REGEXMATCH($E17,""Animal""),""Animal "","""")&amp;IF(REGEXMATCH($E17,""Undead""),""Undead "","""")&amp;IF(REGEXMATCH($E17,""Plant""),""Plant "","""")&amp;IF(REGEXMATCH($E17,""Dinosaur""),""Dinosaur """&amp;","""")&amp;IF(REGEXMATCH($E17,""Warrior""),""Warrior "","""")&amp;IF(REGEXMATCH($E17,""Spirit""),""Spirit "","""")&amp;IF(REGEXMATCH($E17,""Angel""),""Angel "","""")&amp;IF(REGEXMATCH($E17,""Demon""),""Demon "","""")&amp;IF(REGEXMATCH($E17,""Divine""),""Divine "","""")&amp;IF(RE"&amp;"GEXMATCH($E17,""Elemental""),""Elemental "","""")&amp;IF(REGEXMATCH($E17,""Nature""),""Nature "","""")&amp;IF(REGEXMATCH($E17,""Mortal""),""Mortal "","""")&amp;IF(REGEXMATCH($E17,""Void""),""Void "","""")&amp;IF(REGEXMATCH($E17,""Unearth|Ambush|Ritual|unearth|ambush|ritu"&amp;"al""),""Unearth "","""")&amp;IF(REGEXMATCH($E17,""Unleash|Crystallize|all realms|Crystalborn|crystallize""),""Ramp "","""")&amp;IF(REGEXMATCH($E17,""bury|buries|Bury|Buries|Cleanse|puts a Unit|trail|Trail""),""Control "","""")&amp;IF(REGEXMATCH($E17,""Bounce|Return|C"&amp;"opy|bounce|return|copy""),""Copy "","""")&amp;IF(REGEXMATCH($E17,""conquer|Conquer|leading in lanes|lead by""),""Aggro "","""")&amp;IF(REGEXMATCH($E17,""Ascend|ascend""),""Ascend "","""")&amp;IF(REGEXMATCH($E17,""Bury .+ Crystal|.*crystal.*bury""),""Empty-Crystal"","&amp;""""")&amp;IF(REGEXMATCH($E17,""Move|move""),""Move"",""""),"""")"),"Unearth Control ")</f>
        <v>Unearth Control </v>
      </c>
      <c r="H17" s="10" t="str">
        <f>IFERROR(__xludf.DUMMYFUNCTION("IF($L17=""Rare"",IF(REGEXMATCH($E17,""Wizard""),""Wizard "","""")&amp;IF(REGEXMATCH($E17,""Construct""),""Construct "","""")&amp;IF(REGEXMATCH($E17,""Insect""),""Insect "","""")&amp;IF(REGEXMATCH($E17,""Dragon""),""Dragon "","""")&amp;IF(REGEXMATCH($E17,""Human""),""Huma"&amp;"n "","""")&amp;IF(REGEXMATCH($E17,""Hunter""),""Hunter "","""")&amp;IF(REGEXMATCH($E17,""Animal""),""Animal "","""")&amp;IF(REGEXMATCH($E17,""Undead""),""Undead "","""")&amp;IF(REGEXMATCH($E17,""Plant""),""Plant "","""")&amp;IF(REGEXMATCH($E17,""Dinosaur""),""Dinosaur "","""&amp;""")&amp;IF(REGEXMATCH($E17,""Warrior""),""Warrior "","""")&amp;IF(REGEXMATCH($E17,""Spirit""),""Spirit "","""")&amp;IF(REGEXMATCH($E17,""Angel""),""Angel "","""")&amp;IF(REGEXMATCH($E17,""Demon""),""Demon "","""")&amp;IF(REGEXMATCH($E17,""Divine""),""Divine "","""")&amp;IF(REGEX"&amp;"MATCH($E17,""Elemental""),""Elemental "","""")&amp;IF(REGEXMATCH($E17,""Nature""),""Nature "","""")&amp;IF(REGEXMATCH($E17,""Mortal""),""Mortal "","""")&amp;IF(REGEXMATCH($E17,""Void""),""Void "","""")&amp;IF(REGEXMATCH($E17,""Unearth|Ambush|Ritual|unearth|ambush|ritual"&amp;"""),""Unearth "","""")&amp;IF(REGEXMATCH($E17,""Unleash|Crystallize|all realms|Crystalborn|crystallize""),""Ramp "","""")&amp;IF(REGEXMATCH($E17,""Demon""),""Demon "","""")&amp;IF(REGEXMATCH($E17,""bury|buries|Bury|Buries|Cleanse|puts a Unit|trail|Trail""),""Control "&amp;""","""")&amp;IF(REGEXMATCH($E17,""Bounce|Return|Copy|bounce|return|copy""),""Copy "","""")&amp;IF(REGEXMATCH($E17,""conquer|Conquer|leading in lanes|lead by""),""Aggro "","""")&amp;IF(REGEXMATCH($E17,""Ascend|ascend""),""Ascend "","""")&amp;IF(REGEXMATCH($E17,""Bury .+ C"&amp;"rystal|.*crystal.*bury""),""Empty-Crystal"","""")&amp;IF(REGEXMATCH($E17,""Move|move""),""Move"",""""),"""")"),"")</f>
        <v/>
      </c>
      <c r="I17" s="20" t="s">
        <v>1178</v>
      </c>
      <c r="J17" s="18">
        <v>0.0</v>
      </c>
      <c r="K17" s="18" t="s">
        <v>248</v>
      </c>
      <c r="L17" s="18" t="s">
        <v>50</v>
      </c>
      <c r="N17" s="13" t="str">
        <f>IFERROR(__xludf.DUMMYFUNCTION("IF(REGEXMATCH($B17,'1. Karten'!L$1),$D17,"""")"),"")</f>
        <v/>
      </c>
      <c r="O17" s="13" t="str">
        <f>IFERROR(__xludf.DUMMYFUNCTION("IF(REGEXMATCH($B17,'1. Karten'!M$1),$D17,"""")"),"")</f>
        <v/>
      </c>
      <c r="P17" s="13" t="str">
        <f>IFERROR(__xludf.DUMMYFUNCTION("IF(REGEXMATCH($B17,'1. Karten'!N$1),$D17,"""")"),"")</f>
        <v/>
      </c>
      <c r="Q17" s="13" t="str">
        <f>IFERROR(__xludf.DUMMYFUNCTION("IF(REGEXMATCH($B17,'1. Karten'!O$1),$D17,"""")"),"")</f>
        <v/>
      </c>
      <c r="R17" s="13" t="str">
        <f>IFERROR(__xludf.DUMMYFUNCTION("IF(REGEXMATCH($B17,'1. Karten'!P$1),$D17,"""")"),"Construct")</f>
        <v>Construct</v>
      </c>
      <c r="S17" s="13">
        <f>IFERROR(__xludf.DUMMYFUNCTION("IF($A17="""","""",LEN(REGEXREPLACE($K17,"",\s?"","""")))"),7.0)</f>
        <v>7</v>
      </c>
    </row>
    <row r="18">
      <c r="A18" s="19" t="s">
        <v>1515</v>
      </c>
      <c r="B18" s="19" t="s">
        <v>11</v>
      </c>
      <c r="C18" s="18">
        <v>3.0</v>
      </c>
      <c r="D18" s="19" t="s">
        <v>1516</v>
      </c>
      <c r="E18" s="19" t="s">
        <v>1517</v>
      </c>
      <c r="I18" s="56"/>
      <c r="J18" s="18">
        <v>2.0</v>
      </c>
      <c r="K18" s="18" t="s">
        <v>403</v>
      </c>
      <c r="L18" s="19" t="s">
        <v>50</v>
      </c>
    </row>
    <row r="19">
      <c r="A19" s="22" t="s">
        <v>1518</v>
      </c>
      <c r="B19" s="79" t="s">
        <v>12</v>
      </c>
      <c r="C19" s="11"/>
      <c r="D19" s="11" t="s">
        <v>125</v>
      </c>
      <c r="E19" s="10" t="s">
        <v>1519</v>
      </c>
      <c r="F19" s="10" t="str">
        <f>IFERROR(__xludf.DUMMYFUNCTION("IF($L19=""Common"",IF(REGEXMATCH($E19,""Wizard""),""Wizard "","""")&amp;IF(REGEXMATCH($E19,""Construct""),""Construct "","""")&amp;IF(REGEXMATCH($E19,""Insect""),""Insect "","""")&amp;IF(REGEXMATCH($E19,""Dragon""),""Dragon "","""")&amp;IF(REGEXMATCH($E19,""Human""),""Hu"&amp;"man "","""")&amp;IF(REGEXMATCH($E19,""Hunter""),""Hunter "","""")&amp;IF(REGEXMATCH($E19,""Animal""),""Animal "","""")&amp;IF(REGEXMATCH($E19,""Undead""),""Undead "","""")&amp;IF(REGEXMATCH($E19,""Plant""),""Plant "","""")&amp;IF(REGEXMATCH($E19,""Dinosaur""),""Dinosaur "","&amp;""""")&amp;IF(REGEXMATCH($E19,""Warrior""),""Warrior "","""")&amp;IF(REGEXMATCH($E19,""Spirit""),""Spirit "","""")&amp;IF(REGEXMATCH($E19,""Angel""),""Angel "","""")&amp;IF(REGEXMATCH($E19,""Demon""),""Demon "","""")&amp;IF(REGEXMATCH($E19,""Divine""),""Divine "","""")&amp;IF(REG"&amp;"EXMATCH($E19,""Elemental""),""Elemental "","""")&amp;IF(REGEXMATCH($E19,""Nature""),""Nature "","""")&amp;IF(REGEXMATCH($E19,""Mortal""),""Mortal "","""")&amp;IF(REGEXMATCH($E19,""Void""),""Void "","""")&amp;IF(REGEXMATCH($E19,""Unearth|Ambush|Ritual|unearth|ambush|ritua"&amp;"l""),""Unearth "","""")&amp;IF(REGEXMATCH($E19,""Unleash|Crystallize|all realms|Crystalborn|crystallize""),""Ramp "","""")&amp;IF(REGEXMATCH($E19,""Demon""),""Demon "","""")&amp;IF(REGEXMATCH($E19,""bury|buries|Bury|Buries|Cleanse|puts a Unit|trail|Trail""),""Control"&amp;" "","""")&amp;IF(REGEXMATCH($E19,""Bounce|Return|Copy|bounce|return|copy""),""Copy "","""")&amp;IF(REGEXMATCH($E19,""conquer|Conquer|leading in lanes|lead by""),""Aggro "","""")&amp;IF(REGEXMATCH($E19,""Ascend|ascend""),""Ascend "","""")&amp;IF(REGEXMATCH($E19,""Bury .+ "&amp;"Crystal|.*crystal.*bury""),""Empty-Crystal"","""")&amp;IF(REGEXMATCH($E19,""Move|move""),""Move"",""""),"""")"),"")</f>
        <v/>
      </c>
      <c r="G19" s="10" t="str">
        <f>IFERROR(__xludf.DUMMYFUNCTION("IF($L19=""Uncommon"",IF(REGEXMATCH($E19,""Wizard""),""Wizard "","""")&amp;IF(REGEXMATCH($E19,""Construct""),""Construct "","""")&amp;IF(REGEXMATCH($E19,""Insect""),""Insect "","""")&amp;IF(REGEXMATCH($E19,""Dragon""),""Dragon "","""")&amp;IF(REGEXMATCH($E19,""Human""),"""&amp;"Human "","""")&amp;IF(REGEXMATCH($E19,""Hunter""),""Hunter "","""")&amp;IF(REGEXMATCH($E19,""Animal""),""Animal "","""")&amp;IF(REGEXMATCH($E19,""Undead""),""Undead "","""")&amp;IF(REGEXMATCH($E19,""Plant""),""Plant "","""")&amp;IF(REGEXMATCH($E19,""Dinosaur""),""Dinosaur """&amp;","""")&amp;IF(REGEXMATCH($E19,""Warrior""),""Warrior "","""")&amp;IF(REGEXMATCH($E19,""Spirit""),""Spirit "","""")&amp;IF(REGEXMATCH($E19,""Angel""),""Angel "","""")&amp;IF(REGEXMATCH($E19,""Demon""),""Demon "","""")&amp;IF(REGEXMATCH($E19,""Divine""),""Divine "","""")&amp;IF(RE"&amp;"GEXMATCH($E19,""Elemental""),""Elemental "","""")&amp;IF(REGEXMATCH($E19,""Nature""),""Nature "","""")&amp;IF(REGEXMATCH($E19,""Mortal""),""Mortal "","""")&amp;IF(REGEXMATCH($E19,""Void""),""Void "","""")&amp;IF(REGEXMATCH($E19,""Unearth|Ambush|Ritual|unearth|ambush|ritu"&amp;"al""),""Unearth "","""")&amp;IF(REGEXMATCH($E19,""Unleash|Crystallize|all realms|Crystalborn|crystallize""),""Ramp "","""")&amp;IF(REGEXMATCH($E19,""bury|buries|Bury|Buries|Cleanse|puts a Unit|trail|Trail""),""Control "","""")&amp;IF(REGEXMATCH($E19,""Bounce|Return|C"&amp;"opy|bounce|return|copy""),""Copy "","""")&amp;IF(REGEXMATCH($E19,""conquer|Conquer|leading in lanes|lead by""),""Aggro "","""")&amp;IF(REGEXMATCH($E19,""Ascend|ascend""),""Ascend "","""")&amp;IF(REGEXMATCH($E19,""Bury .+ Crystal|.*crystal.*bury""),""Empty-Crystal"","&amp;""""")&amp;IF(REGEXMATCH($E19,""Move|move""),""Move"",""""),"""")"),"")</f>
        <v/>
      </c>
      <c r="H19" s="10" t="str">
        <f>IFERROR(__xludf.DUMMYFUNCTION("IF($L19=""Rare"",IF(REGEXMATCH($E19,""Wizard""),""Wizard "","""")&amp;IF(REGEXMATCH($E19,""Construct""),""Construct "","""")&amp;IF(REGEXMATCH($E19,""Insect""),""Insect "","""")&amp;IF(REGEXMATCH($E19,""Dragon""),""Dragon "","""")&amp;IF(REGEXMATCH($E19,""Human""),""Huma"&amp;"n "","""")&amp;IF(REGEXMATCH($E19,""Hunter""),""Hunter "","""")&amp;IF(REGEXMATCH($E19,""Animal""),""Animal "","""")&amp;IF(REGEXMATCH($E19,""Undead""),""Undead "","""")&amp;IF(REGEXMATCH($E19,""Plant""),""Plant "","""")&amp;IF(REGEXMATCH($E19,""Dinosaur""),""Dinosaur "","""&amp;""")&amp;IF(REGEXMATCH($E19,""Warrior""),""Warrior "","""")&amp;IF(REGEXMATCH($E19,""Spirit""),""Spirit "","""")&amp;IF(REGEXMATCH($E19,""Angel""),""Angel "","""")&amp;IF(REGEXMATCH($E19,""Demon""),""Demon "","""")&amp;IF(REGEXMATCH($E19,""Divine""),""Divine "","""")&amp;IF(REGEX"&amp;"MATCH($E19,""Elemental""),""Elemental "","""")&amp;IF(REGEXMATCH($E19,""Nature""),""Nature "","""")&amp;IF(REGEXMATCH($E19,""Mortal""),""Mortal "","""")&amp;IF(REGEXMATCH($E19,""Void""),""Void "","""")&amp;IF(REGEXMATCH($E19,""Unearth|Ambush|Ritual|unearth|ambush|ritual"&amp;"""),""Unearth "","""")&amp;IF(REGEXMATCH($E19,""Unleash|Crystallize|all realms|Crystalborn|crystallize""),""Ramp "","""")&amp;IF(REGEXMATCH($E19,""Demon""),""Demon "","""")&amp;IF(REGEXMATCH($E19,""bury|buries|Bury|Buries|Cleanse|puts a Unit|trail|Trail""),""Control "&amp;""","""")&amp;IF(REGEXMATCH($E19,""Bounce|Return|Copy|bounce|return|copy""),""Copy "","""")&amp;IF(REGEXMATCH($E19,""conquer|Conquer|leading in lanes|lead by""),""Aggro "","""")&amp;IF(REGEXMATCH($E19,""Ascend|ascend""),""Ascend "","""")&amp;IF(REGEXMATCH($E19,""Bury .+ C"&amp;"rystal|.*crystal.*bury""),""Empty-Crystal"","""")&amp;IF(REGEXMATCH($E19,""Move|move""),""Move"",""""),"""")"),"Construct Ramp Aggro ")</f>
        <v>Construct Ramp Aggro </v>
      </c>
      <c r="I19" s="12" t="s">
        <v>1520</v>
      </c>
      <c r="J19" s="11">
        <v>3.0</v>
      </c>
      <c r="K19" s="11" t="s">
        <v>1014</v>
      </c>
      <c r="L19" s="11" t="s">
        <v>33</v>
      </c>
      <c r="N19" s="13" t="str">
        <f>IFERROR(__xludf.DUMMYFUNCTION("IF(REGEXMATCH($B19,'1. Karten'!L$1),$D19,"""")"),"")</f>
        <v/>
      </c>
      <c r="O19" s="13" t="str">
        <f>IFERROR(__xludf.DUMMYFUNCTION("IF(REGEXMATCH($B19,'1. Karten'!M$1),$D19,"""")"),"Construct")</f>
        <v>Construct</v>
      </c>
      <c r="P19" s="13" t="str">
        <f>IFERROR(__xludf.DUMMYFUNCTION("IF(REGEXMATCH($B19,'1. Karten'!N$1),$D19,"""")"),"")</f>
        <v/>
      </c>
      <c r="Q19" s="13" t="str">
        <f>IFERROR(__xludf.DUMMYFUNCTION("IF(REGEXMATCH($B19,'1. Karten'!O$1),$D19,"""")"),"")</f>
        <v/>
      </c>
      <c r="R19" s="13" t="str">
        <f>IFERROR(__xludf.DUMMYFUNCTION("IF(REGEXMATCH($B19,'1. Karten'!P$1),$D19,"""")"),"")</f>
        <v/>
      </c>
      <c r="S19" s="13">
        <f>IFERROR(__xludf.DUMMYFUNCTION("IF($A19="""","""",LEN(REGEXREPLACE($K19,"",\s?"","""")))"),5.0)</f>
        <v>5</v>
      </c>
    </row>
    <row r="20">
      <c r="A20" s="10" t="s">
        <v>1341</v>
      </c>
      <c r="B20" s="83" t="s">
        <v>13</v>
      </c>
      <c r="C20" s="11">
        <v>3.0</v>
      </c>
      <c r="D20" s="18" t="s">
        <v>1521</v>
      </c>
      <c r="E20" s="19" t="s">
        <v>1343</v>
      </c>
      <c r="F20" s="10" t="str">
        <f>IFERROR(__xludf.DUMMYFUNCTION("IF($L20=""Common"",IF(REGEXMATCH($E20,""Wizard""),""Wizard "","""")&amp;IF(REGEXMATCH($E20,""Construct""),""Construct "","""")&amp;IF(REGEXMATCH($E20,""Insect""),""Insect "","""")&amp;IF(REGEXMATCH($E20,""Dragon""),""Dragon "","""")&amp;IF(REGEXMATCH($E20,""Human""),""Hu"&amp;"man "","""")&amp;IF(REGEXMATCH($E20,""Hunter""),""Hunter "","""")&amp;IF(REGEXMATCH($E20,""Animal""),""Animal "","""")&amp;IF(REGEXMATCH($E20,""Undead""),""Undead "","""")&amp;IF(REGEXMATCH($E20,""Plant""),""Plant "","""")&amp;IF(REGEXMATCH($E20,""Dinosaur""),""Dinosaur "","&amp;""""")&amp;IF(REGEXMATCH($E20,""Warrior""),""Warrior "","""")&amp;IF(REGEXMATCH($E20,""Spirit""),""Spirit "","""")&amp;IF(REGEXMATCH($E20,""Angel""),""Angel "","""")&amp;IF(REGEXMATCH($E20,""Demon""),""Demon "","""")&amp;IF(REGEXMATCH($E20,""Divine""),""Divine "","""")&amp;IF(REG"&amp;"EXMATCH($E20,""Elemental""),""Elemental "","""")&amp;IF(REGEXMATCH($E20,""Nature""),""Nature "","""")&amp;IF(REGEXMATCH($E20,""Mortal""),""Mortal "","""")&amp;IF(REGEXMATCH($E20,""Void""),""Void "","""")&amp;IF(REGEXMATCH($E20,""Unearth|Ambush|Ritual|unearth|ambush|ritua"&amp;"l""),""Unearth "","""")&amp;IF(REGEXMATCH($E20,""Unleash|Crystallize|all realms|Crystalborn|crystallize""),""Ramp "","""")&amp;IF(REGEXMATCH($E20,""Demon""),""Demon "","""")&amp;IF(REGEXMATCH($E20,""bury|buries|Bury|Buries|Cleanse|puts a Unit|trail|Trail""),""Control"&amp;" "","""")&amp;IF(REGEXMATCH($E20,""Bounce|Return|Copy|bounce|return|copy""),""Copy "","""")&amp;IF(REGEXMATCH($E20,""conquer|Conquer|leading in lanes|lead by""),""Aggro "","""")&amp;IF(REGEXMATCH($E20,""Ascend|ascend""),""Ascend "","""")&amp;IF(REGEXMATCH($E20,""Bury .+ "&amp;"Crystal|.*crystal.*bury""),""Empty-Crystal"","""")&amp;IF(REGEXMATCH($E20,""Move|move""),""Move"",""""),"""")"),"")</f>
        <v/>
      </c>
      <c r="G20" s="10" t="str">
        <f>IFERROR(__xludf.DUMMYFUNCTION("IF($L20=""Uncommon"",IF(REGEXMATCH($E20,""Wizard""),""Wizard "","""")&amp;IF(REGEXMATCH($E20,""Construct""),""Construct "","""")&amp;IF(REGEXMATCH($E20,""Insect""),""Insect "","""")&amp;IF(REGEXMATCH($E20,""Dragon""),""Dragon "","""")&amp;IF(REGEXMATCH($E20,""Human""),"""&amp;"Human "","""")&amp;IF(REGEXMATCH($E20,""Hunter""),""Hunter "","""")&amp;IF(REGEXMATCH($E20,""Animal""),""Animal "","""")&amp;IF(REGEXMATCH($E20,""Undead""),""Undead "","""")&amp;IF(REGEXMATCH($E20,""Plant""),""Plant "","""")&amp;IF(REGEXMATCH($E20,""Dinosaur""),""Dinosaur """&amp;","""")&amp;IF(REGEXMATCH($E20,""Warrior""),""Warrior "","""")&amp;IF(REGEXMATCH($E20,""Spirit""),""Spirit "","""")&amp;IF(REGEXMATCH($E20,""Angel""),""Angel "","""")&amp;IF(REGEXMATCH($E20,""Demon""),""Demon "","""")&amp;IF(REGEXMATCH($E20,""Divine""),""Divine "","""")&amp;IF(RE"&amp;"GEXMATCH($E20,""Elemental""),""Elemental "","""")&amp;IF(REGEXMATCH($E20,""Nature""),""Nature "","""")&amp;IF(REGEXMATCH($E20,""Mortal""),""Mortal "","""")&amp;IF(REGEXMATCH($E20,""Void""),""Void "","""")&amp;IF(REGEXMATCH($E20,""Unearth|Ambush|Ritual|unearth|ambush|ritu"&amp;"al""),""Unearth "","""")&amp;IF(REGEXMATCH($E20,""Unleash|Crystallize|all realms|Crystalborn|crystallize""),""Ramp "","""")&amp;IF(REGEXMATCH($E20,""bury|buries|Bury|Buries|Cleanse|puts a Unit|trail|Trail""),""Control "","""")&amp;IF(REGEXMATCH($E20,""Bounce|Return|C"&amp;"opy|bounce|return|copy""),""Copy "","""")&amp;IF(REGEXMATCH($E20,""conquer|Conquer|leading in lanes|lead by""),""Aggro "","""")&amp;IF(REGEXMATCH($E20,""Ascend|ascend""),""Ascend "","""")&amp;IF(REGEXMATCH($E20,""Bury .+ Crystal|.*crystal.*bury""),""Empty-Crystal"","&amp;""""")&amp;IF(REGEXMATCH($E20,""Move|move""),""Move"",""""),"""")"),"")</f>
        <v/>
      </c>
      <c r="H20" s="10" t="str">
        <f>IFERROR(__xludf.DUMMYFUNCTION("IF($L20=""Rare"",IF(REGEXMATCH($E20,""Wizard""),""Wizard "","""")&amp;IF(REGEXMATCH($E20,""Construct""),""Construct "","""")&amp;IF(REGEXMATCH($E20,""Insect""),""Insect "","""")&amp;IF(REGEXMATCH($E20,""Dragon""),""Dragon "","""")&amp;IF(REGEXMATCH($E20,""Human""),""Huma"&amp;"n "","""")&amp;IF(REGEXMATCH($E20,""Hunter""),""Hunter "","""")&amp;IF(REGEXMATCH($E20,""Animal""),""Animal "","""")&amp;IF(REGEXMATCH($E20,""Undead""),""Undead "","""")&amp;IF(REGEXMATCH($E20,""Plant""),""Plant "","""")&amp;IF(REGEXMATCH($E20,""Dinosaur""),""Dinosaur "","""&amp;""")&amp;IF(REGEXMATCH($E20,""Warrior""),""Warrior "","""")&amp;IF(REGEXMATCH($E20,""Spirit""),""Spirit "","""")&amp;IF(REGEXMATCH($E20,""Angel""),""Angel "","""")&amp;IF(REGEXMATCH($E20,""Demon""),""Demon "","""")&amp;IF(REGEXMATCH($E20,""Divine""),""Divine "","""")&amp;IF(REGEX"&amp;"MATCH($E20,""Elemental""),""Elemental "","""")&amp;IF(REGEXMATCH($E20,""Nature""),""Nature "","""")&amp;IF(REGEXMATCH($E20,""Mortal""),""Mortal "","""")&amp;IF(REGEXMATCH($E20,""Void""),""Void "","""")&amp;IF(REGEXMATCH($E20,""Unearth|Ambush|Ritual|unearth|ambush|ritual"&amp;"""),""Unearth "","""")&amp;IF(REGEXMATCH($E20,""Unleash|Crystallize|all realms|Crystalborn|crystallize""),""Ramp "","""")&amp;IF(REGEXMATCH($E20,""Demon""),""Demon "","""")&amp;IF(REGEXMATCH($E20,""bury|buries|Bury|Buries|Cleanse|puts a Unit|trail|Trail""),""Control "&amp;""","""")&amp;IF(REGEXMATCH($E20,""Bounce|Return|Copy|bounce|return|copy""),""Copy "","""")&amp;IF(REGEXMATCH($E20,""conquer|Conquer|leading in lanes|lead by""),""Aggro "","""")&amp;IF(REGEXMATCH($E20,""Ascend|ascend""),""Ascend "","""")&amp;IF(REGEXMATCH($E20,""Bury .+ C"&amp;"rystal|.*crystal.*bury""),""Empty-Crystal"","""")&amp;IF(REGEXMATCH($E20,""Move|move""),""Move"",""""),"""")"),"Unearth ")</f>
        <v>Unearth </v>
      </c>
      <c r="I20" s="20" t="s">
        <v>1344</v>
      </c>
      <c r="J20" s="18">
        <v>2.0</v>
      </c>
      <c r="K20" s="18" t="s">
        <v>1277</v>
      </c>
      <c r="L20" s="11" t="s">
        <v>33</v>
      </c>
    </row>
    <row r="21">
      <c r="A21" s="10" t="s">
        <v>1522</v>
      </c>
      <c r="B21" s="16" t="s">
        <v>15</v>
      </c>
      <c r="C21" s="11">
        <v>3.0</v>
      </c>
      <c r="D21" s="11" t="s">
        <v>317</v>
      </c>
      <c r="E21" s="10" t="s">
        <v>1523</v>
      </c>
      <c r="F21" s="10" t="str">
        <f>IFERROR(__xludf.DUMMYFUNCTION("IF($L21=""Common"",IF(REGEXMATCH($E21,""Wizard""),""Wizard "","""")&amp;IF(REGEXMATCH($E21,""Construct""),""Construct "","""")&amp;IF(REGEXMATCH($E21,""Insect""),""Insect "","""")&amp;IF(REGEXMATCH($E21,""Dragon""),""Dragon "","""")&amp;IF(REGEXMATCH($E21,""Human""),""Hu"&amp;"man "","""")&amp;IF(REGEXMATCH($E21,""Hunter""),""Hunter "","""")&amp;IF(REGEXMATCH($E21,""Animal""),""Animal "","""")&amp;IF(REGEXMATCH($E21,""Undead""),""Undead "","""")&amp;IF(REGEXMATCH($E21,""Plant""),""Plant "","""")&amp;IF(REGEXMATCH($E21,""Dinosaur""),""Dinosaur "","&amp;""""")&amp;IF(REGEXMATCH($E21,""Warrior""),""Warrior "","""")&amp;IF(REGEXMATCH($E21,""Spirit""),""Spirit "","""")&amp;IF(REGEXMATCH($E21,""Angel""),""Angel "","""")&amp;IF(REGEXMATCH($E21,""Demon""),""Demon "","""")&amp;IF(REGEXMATCH($E21,""Divine""),""Divine "","""")&amp;IF(REG"&amp;"EXMATCH($E21,""Elemental""),""Elemental "","""")&amp;IF(REGEXMATCH($E21,""Nature""),""Nature "","""")&amp;IF(REGEXMATCH($E21,""Mortal""),""Mortal "","""")&amp;IF(REGEXMATCH($E21,""Void""),""Void "","""")&amp;IF(REGEXMATCH($E21,""Unearth|Ambush|Ritual|unearth|ambush|ritua"&amp;"l""),""Unearth "","""")&amp;IF(REGEXMATCH($E21,""Unleash|Crystallize|all realms|Crystalborn|crystallize""),""Ramp "","""")&amp;IF(REGEXMATCH($E21,""Demon""),""Demon "","""")&amp;IF(REGEXMATCH($E21,""bury|buries|Bury|Buries|Cleanse|puts a Unit|trail|Trail""),""Control"&amp;" "","""")&amp;IF(REGEXMATCH($E21,""Bounce|Return|Copy|bounce|return|copy""),""Copy "","""")&amp;IF(REGEXMATCH($E21,""conquer|Conquer|leading in lanes|lead by""),""Aggro "","""")&amp;IF(REGEXMATCH($E21,""Ascend|ascend""),""Ascend "","""")&amp;IF(REGEXMATCH($E21,""Bury .+ "&amp;"Crystal|.*crystal.*bury""),""Empty-Crystal"","""")&amp;IF(REGEXMATCH($E21,""Move|move""),""Move"",""""),"""")"),"Unearth ")</f>
        <v>Unearth </v>
      </c>
      <c r="G21" s="10" t="str">
        <f>IFERROR(__xludf.DUMMYFUNCTION("IF($L21=""Uncommon"",IF(REGEXMATCH($E21,""Wizard""),""Wizard "","""")&amp;IF(REGEXMATCH($E21,""Construct""),""Construct "","""")&amp;IF(REGEXMATCH($E21,""Insect""),""Insect "","""")&amp;IF(REGEXMATCH($E21,""Dragon""),""Dragon "","""")&amp;IF(REGEXMATCH($E21,""Human""),"""&amp;"Human "","""")&amp;IF(REGEXMATCH($E21,""Hunter""),""Hunter "","""")&amp;IF(REGEXMATCH($E21,""Animal""),""Animal "","""")&amp;IF(REGEXMATCH($E21,""Undead""),""Undead "","""")&amp;IF(REGEXMATCH($E21,""Plant""),""Plant "","""")&amp;IF(REGEXMATCH($E21,""Dinosaur""),""Dinosaur """&amp;","""")&amp;IF(REGEXMATCH($E21,""Warrior""),""Warrior "","""")&amp;IF(REGEXMATCH($E21,""Spirit""),""Spirit "","""")&amp;IF(REGEXMATCH($E21,""Angel""),""Angel "","""")&amp;IF(REGEXMATCH($E21,""Demon""),""Demon "","""")&amp;IF(REGEXMATCH($E21,""Divine""),""Divine "","""")&amp;IF(RE"&amp;"GEXMATCH($E21,""Elemental""),""Elemental "","""")&amp;IF(REGEXMATCH($E21,""Nature""),""Nature "","""")&amp;IF(REGEXMATCH($E21,""Mortal""),""Mortal "","""")&amp;IF(REGEXMATCH($E21,""Void""),""Void "","""")&amp;IF(REGEXMATCH($E21,""Unearth|Ambush|Ritual|unearth|ambush|ritu"&amp;"al""),""Unearth "","""")&amp;IF(REGEXMATCH($E21,""Unleash|Crystallize|all realms|Crystalborn|crystallize""),""Ramp "","""")&amp;IF(REGEXMATCH($E21,""bury|buries|Bury|Buries|Cleanse|puts a Unit|trail|Trail""),""Control "","""")&amp;IF(REGEXMATCH($E21,""Bounce|Return|C"&amp;"opy|bounce|return|copy""),""Copy "","""")&amp;IF(REGEXMATCH($E21,""conquer|Conquer|leading in lanes|lead by""),""Aggro "","""")&amp;IF(REGEXMATCH($E21,""Ascend|ascend""),""Ascend "","""")&amp;IF(REGEXMATCH($E21,""Bury .+ Crystal|.*crystal.*bury""),""Empty-Crystal"","&amp;""""")&amp;IF(REGEXMATCH($E21,""Move|move""),""Move"",""""),"""")"),"")</f>
        <v/>
      </c>
      <c r="H21" s="10" t="str">
        <f>IFERROR(__xludf.DUMMYFUNCTION("IF($L21=""Rare"",IF(REGEXMATCH($E21,""Wizard""),""Wizard "","""")&amp;IF(REGEXMATCH($E21,""Construct""),""Construct "","""")&amp;IF(REGEXMATCH($E21,""Insect""),""Insect "","""")&amp;IF(REGEXMATCH($E21,""Dragon""),""Dragon "","""")&amp;IF(REGEXMATCH($E21,""Human""),""Huma"&amp;"n "","""")&amp;IF(REGEXMATCH($E21,""Hunter""),""Hunter "","""")&amp;IF(REGEXMATCH($E21,""Animal""),""Animal "","""")&amp;IF(REGEXMATCH($E21,""Undead""),""Undead "","""")&amp;IF(REGEXMATCH($E21,""Plant""),""Plant "","""")&amp;IF(REGEXMATCH($E21,""Dinosaur""),""Dinosaur "","""&amp;""")&amp;IF(REGEXMATCH($E21,""Warrior""),""Warrior "","""")&amp;IF(REGEXMATCH($E21,""Spirit""),""Spirit "","""")&amp;IF(REGEXMATCH($E21,""Angel""),""Angel "","""")&amp;IF(REGEXMATCH($E21,""Demon""),""Demon "","""")&amp;IF(REGEXMATCH($E21,""Divine""),""Divine "","""")&amp;IF(REGEX"&amp;"MATCH($E21,""Elemental""),""Elemental "","""")&amp;IF(REGEXMATCH($E21,""Nature""),""Nature "","""")&amp;IF(REGEXMATCH($E21,""Mortal""),""Mortal "","""")&amp;IF(REGEXMATCH($E21,""Void""),""Void "","""")&amp;IF(REGEXMATCH($E21,""Unearth|Ambush|Ritual|unearth|ambush|ritual"&amp;"""),""Unearth "","""")&amp;IF(REGEXMATCH($E21,""Unleash|Crystallize|all realms|Crystalborn|crystallize""),""Ramp "","""")&amp;IF(REGEXMATCH($E21,""Demon""),""Demon "","""")&amp;IF(REGEXMATCH($E21,""bury|buries|Bury|Buries|Cleanse|puts a Unit|trail|Trail""),""Control "&amp;""","""")&amp;IF(REGEXMATCH($E21,""Bounce|Return|Copy|bounce|return|copy""),""Copy "","""")&amp;IF(REGEXMATCH($E21,""conquer|Conquer|leading in lanes|lead by""),""Aggro "","""")&amp;IF(REGEXMATCH($E21,""Ascend|ascend""),""Ascend "","""")&amp;IF(REGEXMATCH($E21,""Bury .+ C"&amp;"rystal|.*crystal.*bury""),""Empty-Crystal"","""")&amp;IF(REGEXMATCH($E21,""Move|move""),""Move"",""""),"""")"),"")</f>
        <v/>
      </c>
      <c r="I21" s="12" t="s">
        <v>1524</v>
      </c>
      <c r="J21" s="11">
        <v>3.0</v>
      </c>
      <c r="K21" s="11" t="s">
        <v>87</v>
      </c>
      <c r="L21" s="11" t="s">
        <v>42</v>
      </c>
    </row>
    <row r="22">
      <c r="A22" s="58" t="s">
        <v>1525</v>
      </c>
      <c r="B22" s="165" t="s">
        <v>15</v>
      </c>
      <c r="C22" s="60">
        <v>3.0</v>
      </c>
      <c r="D22" s="62" t="s">
        <v>1526</v>
      </c>
      <c r="E22" s="26" t="s">
        <v>1527</v>
      </c>
      <c r="F22" s="10" t="str">
        <f>IFERROR(__xludf.DUMMYFUNCTION("IF($L22=""Common"",IF(REGEXMATCH($E22,""Wizard""),""Wizard "","""")&amp;IF(REGEXMATCH($E22,""Construct""),""Construct "","""")&amp;IF(REGEXMATCH($E22,""Insect""),""Insect "","""")&amp;IF(REGEXMATCH($E22,""Dragon""),""Dragon "","""")&amp;IF(REGEXMATCH($E22,""Human""),""Hu"&amp;"man "","""")&amp;IF(REGEXMATCH($E22,""Hunter""),""Hunter "","""")&amp;IF(REGEXMATCH($E22,""Animal""),""Animal "","""")&amp;IF(REGEXMATCH($E22,""Undead""),""Undead "","""")&amp;IF(REGEXMATCH($E22,""Plant""),""Plant "","""")&amp;IF(REGEXMATCH($E22,""Dinosaur""),""Dinosaur "","&amp;""""")&amp;IF(REGEXMATCH($E22,""Warrior""),""Warrior "","""")&amp;IF(REGEXMATCH($E22,""Spirit""),""Spirit "","""")&amp;IF(REGEXMATCH($E22,""Angel""),""Angel "","""")&amp;IF(REGEXMATCH($E22,""Demon""),""Demon "","""")&amp;IF(REGEXMATCH($E22,""Divine""),""Divine "","""")&amp;IF(REG"&amp;"EXMATCH($E22,""Elemental""),""Elemental "","""")&amp;IF(REGEXMATCH($E22,""Nature""),""Nature "","""")&amp;IF(REGEXMATCH($E22,""Mortal""),""Mortal "","""")&amp;IF(REGEXMATCH($E22,""Void""),""Void "","""")&amp;IF(REGEXMATCH($E22,""Unearth|Ambush|Ritual|unearth|ambush|ritua"&amp;"l""),""Unearth "","""")&amp;IF(REGEXMATCH($E22,""Unleash|Crystallize|all realms|Crystalborn|crystallize""),""Ramp "","""")&amp;IF(REGEXMATCH($E22,""Demon""),""Demon "","""")&amp;IF(REGEXMATCH($E22,""bury|buries|Bury|Buries|Cleanse|puts a Unit|trail|Trail""),""Control"&amp;" "","""")&amp;IF(REGEXMATCH($E22,""Bounce|Return|Copy|bounce|return|copy""),""Copy "","""")&amp;IF(REGEXMATCH($E22,""conquer|Conquer|leading in lanes|lead by""),""Aggro "","""")&amp;IF(REGEXMATCH($E22,""Ascend|ascend""),""Ascend "","""")&amp;IF(REGEXMATCH($E22,""Bury .+ "&amp;"Crystal|.*crystal.*bury""),""Empty-Crystal"","""")&amp;IF(REGEXMATCH($E22,""Move|move""),""Move"",""""),"""")"),"")</f>
        <v/>
      </c>
      <c r="G22" s="10" t="str">
        <f>IFERROR(__xludf.DUMMYFUNCTION("IF($L22=""Uncommon"",IF(REGEXMATCH($E22,""Wizard""),""Wizard "","""")&amp;IF(REGEXMATCH($E22,""Construct""),""Construct "","""")&amp;IF(REGEXMATCH($E22,""Insect""),""Insect "","""")&amp;IF(REGEXMATCH($E22,""Dragon""),""Dragon "","""")&amp;IF(REGEXMATCH($E22,""Human""),"""&amp;"Human "","""")&amp;IF(REGEXMATCH($E22,""Hunter""),""Hunter "","""")&amp;IF(REGEXMATCH($E22,""Animal""),""Animal "","""")&amp;IF(REGEXMATCH($E22,""Undead""),""Undead "","""")&amp;IF(REGEXMATCH($E22,""Plant""),""Plant "","""")&amp;IF(REGEXMATCH($E22,""Dinosaur""),""Dinosaur """&amp;","""")&amp;IF(REGEXMATCH($E22,""Warrior""),""Warrior "","""")&amp;IF(REGEXMATCH($E22,""Spirit""),""Spirit "","""")&amp;IF(REGEXMATCH($E22,""Angel""),""Angel "","""")&amp;IF(REGEXMATCH($E22,""Demon""),""Demon "","""")&amp;IF(REGEXMATCH($E22,""Divine""),""Divine "","""")&amp;IF(RE"&amp;"GEXMATCH($E22,""Elemental""),""Elemental "","""")&amp;IF(REGEXMATCH($E22,""Nature""),""Nature "","""")&amp;IF(REGEXMATCH($E22,""Mortal""),""Mortal "","""")&amp;IF(REGEXMATCH($E22,""Void""),""Void "","""")&amp;IF(REGEXMATCH($E22,""Unearth|Ambush|Ritual|unearth|ambush|ritu"&amp;"al""),""Unearth "","""")&amp;IF(REGEXMATCH($E22,""Unleash|Crystallize|all realms|Crystalborn|crystallize""),""Ramp "","""")&amp;IF(REGEXMATCH($E22,""bury|buries|Bury|Buries|Cleanse|puts a Unit|trail|Trail""),""Control "","""")&amp;IF(REGEXMATCH($E22,""Bounce|Return|C"&amp;"opy|bounce|return|copy""),""Copy "","""")&amp;IF(REGEXMATCH($E22,""conquer|Conquer|leading in lanes|lead by""),""Aggro "","""")&amp;IF(REGEXMATCH($E22,""Ascend|ascend""),""Ascend "","""")&amp;IF(REGEXMATCH($E22,""Bury .+ Crystal|.*crystal.*bury""),""Empty-Crystal"","&amp;""""")&amp;IF(REGEXMATCH($E22,""Move|move""),""Move"",""""),"""")"),"")</f>
        <v/>
      </c>
      <c r="H22" s="10" t="str">
        <f>IFERROR(__xludf.DUMMYFUNCTION("IF($L22=""Rare"",IF(REGEXMATCH($E22,""Wizard""),""Wizard "","""")&amp;IF(REGEXMATCH($E22,""Construct""),""Construct "","""")&amp;IF(REGEXMATCH($E22,""Insect""),""Insect "","""")&amp;IF(REGEXMATCH($E22,""Dragon""),""Dragon "","""")&amp;IF(REGEXMATCH($E22,""Human""),""Huma"&amp;"n "","""")&amp;IF(REGEXMATCH($E22,""Hunter""),""Hunter "","""")&amp;IF(REGEXMATCH($E22,""Animal""),""Animal "","""")&amp;IF(REGEXMATCH($E22,""Undead""),""Undead "","""")&amp;IF(REGEXMATCH($E22,""Plant""),""Plant "","""")&amp;IF(REGEXMATCH($E22,""Dinosaur""),""Dinosaur "","""&amp;""")&amp;IF(REGEXMATCH($E22,""Warrior""),""Warrior "","""")&amp;IF(REGEXMATCH($E22,""Spirit""),""Spirit "","""")&amp;IF(REGEXMATCH($E22,""Angel""),""Angel "","""")&amp;IF(REGEXMATCH($E22,""Demon""),""Demon "","""")&amp;IF(REGEXMATCH($E22,""Divine""),""Divine "","""")&amp;IF(REGEX"&amp;"MATCH($E22,""Elemental""),""Elemental "","""")&amp;IF(REGEXMATCH($E22,""Nature""),""Nature "","""")&amp;IF(REGEXMATCH($E22,""Mortal""),""Mortal "","""")&amp;IF(REGEXMATCH($E22,""Void""),""Void "","""")&amp;IF(REGEXMATCH($E22,""Unearth|Ambush|Ritual|unearth|ambush|ritual"&amp;"""),""Unearth "","""")&amp;IF(REGEXMATCH($E22,""Unleash|Crystallize|all realms|Crystalborn|crystallize""),""Ramp "","""")&amp;IF(REGEXMATCH($E22,""Demon""),""Demon "","""")&amp;IF(REGEXMATCH($E22,""bury|buries|Bury|Buries|Cleanse|puts a Unit|trail|Trail""),""Control "&amp;""","""")&amp;IF(REGEXMATCH($E22,""Bounce|Return|Copy|bounce|return|copy""),""Copy "","""")&amp;IF(REGEXMATCH($E22,""conquer|Conquer|leading in lanes|lead by""),""Aggro "","""")&amp;IF(REGEXMATCH($E22,""Ascend|ascend""),""Ascend "","""")&amp;IF(REGEXMATCH($E22,""Bury .+ C"&amp;"rystal|.*crystal.*bury""),""Empty-Crystal"","""")&amp;IF(REGEXMATCH($E22,""Move|move""),""Move"",""""),"""")"),"")</f>
        <v/>
      </c>
      <c r="I22" s="61" t="s">
        <v>40</v>
      </c>
      <c r="J22" s="62">
        <v>5.0</v>
      </c>
      <c r="K22" s="60" t="s">
        <v>69</v>
      </c>
      <c r="L22" s="62" t="s">
        <v>42</v>
      </c>
    </row>
    <row r="23">
      <c r="A23" s="19" t="s">
        <v>1528</v>
      </c>
      <c r="B23" s="19" t="s">
        <v>312</v>
      </c>
      <c r="C23" s="18"/>
      <c r="D23" s="18" t="s">
        <v>920</v>
      </c>
      <c r="E23" s="19" t="s">
        <v>1529</v>
      </c>
      <c r="F23" s="10" t="str">
        <f>IFERROR(__xludf.DUMMYFUNCTION("IF(REGEXMATCH($E23,""Wizard""),""Wizard "","""")&amp;IF(REGEXMATCH($E23,""Construct""),""Construct "","""")&amp;IF(REGEXMATCH($E23,""Insect""),""Insect "","""")&amp;IF(REGEXMATCH($E23,""Dragon""),""Dragon "","""")&amp;IF(REGEXMATCH($E23,""Human""),""Human "","""")&amp;IF(REG"&amp;"EXMATCH($E23,""Hunter""),""Hunter "","""")&amp;IF(REGEXMATCH($E23,""Animal""),""Animal "","""")&amp;IF(REGEXMATCH($E23,""Undead""),""Undead "","""")&amp;IF(REGEXMATCH($E23,""Plant""),""Plant "","""")&amp;IF(REGEXMATCH($E23,""Dinosaur""),""Dinosaur "","""")&amp;IF(REGEXMATCH("&amp;"$E23,""Warrior""),""Warrior "","""")&amp;IF(REGEXMATCH($E23,""Spirit""),""Spirit "","""")&amp;IF(REGEXMATCH($E23,""Angel""),""Angel "","""")&amp;IF(REGEXMATCH($E23,""Demon""),""Demon "","""")&amp;IF(REGEXMATCH($E23,""Divine""),""Divine "","""")&amp;IF(REGEXMATCH($E23,""Eleme"&amp;"ntal""),""Elemental "","""")&amp;IF(REGEXMATCH($E23,""Nature""),""Nature "","""")&amp;IF(REGEXMATCH($E23,""Mortal""),""Mortal "","""")&amp;IF(REGEXMATCH($E23,""Void""),""Void "","""")&amp;IF(REGEXMATCH($E23,""Unearth|Ambush|Ritual|unearth|ambush|ritual""),""Unearth "","""&amp;""")&amp;IF(REGEXMATCH($E23,""Unleash|Crystallize|all realms|Crystalborn|crystallize""),""Ramp "","""")&amp;IF(REGEXMATCH($E23,""Demon""),""Demon "","""")&amp;IF(REGEXMATCH($E23,""bury|buries|Bury|Buries|Cleanse|puts a Unit|trail|Trail""),""Control "","""")&amp;IF(REGEXMA"&amp;"TCH($E23,""Bounce|Return|Copy|bounce|return|copy""),""Copy "","""")&amp;IF(REGEXMATCH($E23,""conquer|Conquer|leading in lanes|lead by""),""Aggro "","""")&amp;IF(REGEXMATCH($E23,""Ascend|ascend""),""Ascend "","""")&amp;IF(REGEXMATCH($E23,""Bury .+ Crystal|.*crystal.*b"&amp;"ury""),""Empty-Crystal"","""")&amp;IF(REGEXMATCH($E23,""Move|move""),""Move"","""")"),"")</f>
        <v/>
      </c>
      <c r="G23" s="20" t="s">
        <v>1530</v>
      </c>
      <c r="H23" s="18">
        <v>5.0</v>
      </c>
      <c r="I23" s="18" t="s">
        <v>1531</v>
      </c>
      <c r="J23" s="18" t="s">
        <v>50</v>
      </c>
      <c r="L23" s="13" t="str">
        <f>IFERROR(__xludf.DUMMYFUNCTION("IF(REGEXMATCH($B23,'1. Karten'!L$1),$D23,"""")"),"")</f>
        <v/>
      </c>
      <c r="M23" s="13" t="str">
        <f>IFERROR(__xludf.DUMMYFUNCTION("IF(REGEXMATCH($B23,'1. Karten'!M$1),$D23,"""")"),"")</f>
        <v/>
      </c>
      <c r="N23" s="13" t="str">
        <f>IFERROR(__xludf.DUMMYFUNCTION("IF(REGEXMATCH($B23,'1. Karten'!N$1),$D23,"""")"),"Demon Wizard")</f>
        <v>Demon Wizard</v>
      </c>
      <c r="O23" s="13" t="str">
        <f>IFERROR(__xludf.DUMMYFUNCTION("IF(REGEXMATCH($B23,'1. Karten'!O$1),$D23,"""")"),"")</f>
        <v/>
      </c>
      <c r="P23" s="13" t="str">
        <f>IFERROR(__xludf.DUMMYFUNCTION("IF(REGEXMATCH($B23,'1. Karten'!P$1),$D23,"""")"),"Demon Wizard")</f>
        <v>Demon Wizard</v>
      </c>
      <c r="Q23" s="13">
        <f>IFERROR(__xludf.DUMMYFUNCTION("IF($A23="""","""",LEN(REGEXREPLACE($I23,"",\s?"","""")))"),5.0)</f>
        <v>5</v>
      </c>
    </row>
    <row r="24">
      <c r="A24" s="10" t="s">
        <v>1532</v>
      </c>
      <c r="B24" s="43" t="s">
        <v>11</v>
      </c>
      <c r="C24" s="11">
        <v>3.0</v>
      </c>
      <c r="D24" s="11" t="s">
        <v>350</v>
      </c>
      <c r="E24" s="19" t="s">
        <v>1533</v>
      </c>
      <c r="F24" s="10" t="str">
        <f>IFERROR(__xludf.DUMMYFUNCTION("IF(REGEXMATCH($E24,""Wizard""),""Wizard "","""")&amp;IF(REGEXMATCH($E24,""Construct""),""Construct "","""")&amp;IF(REGEXMATCH($E24,""Insect""),""Insect "","""")&amp;IF(REGEXMATCH($E24,""Dragon""),""Dragon "","""")&amp;IF(REGEXMATCH($E24,""Human""),""Human "","""")&amp;IF(REG"&amp;"EXMATCH($E24,""Hunter""),""Hunter "","""")&amp;IF(REGEXMATCH($E24,""Animal""),""Animal "","""")&amp;IF(REGEXMATCH($E24,""Undead""),""Undead "","""")&amp;IF(REGEXMATCH($E24,""Plant""),""Plant "","""")&amp;IF(REGEXMATCH($E24,""Dinosaur""),""Dinosaur "","""")&amp;IF(REGEXMATCH("&amp;"$E24,""Warrior""),""Warrior "","""")&amp;IF(REGEXMATCH($E24,""Spirit""),""Spirit "","""")&amp;IF(REGEXMATCH($E24,""Angel""),""Angel "","""")&amp;IF(REGEXMATCH($E24,""Demon""),""Demon "","""")&amp;IF(REGEXMATCH($E24,""Divine""),""Divine "","""")&amp;IF(REGEXMATCH($E24,""Eleme"&amp;"ntal""),""Elemental "","""")&amp;IF(REGEXMATCH($E24,""Nature""),""Nature "","""")&amp;IF(REGEXMATCH($E24,""Mortal""),""Mortal "","""")&amp;IF(REGEXMATCH($E24,""Void""),""Void "","""")&amp;IF(REGEXMATCH($E24,""Unearth|Ambush|Ritual|unearth|ambush|ritual""),""Unearth "","""&amp;""")&amp;IF(REGEXMATCH($E24,""Unleash|Crystallize|all realms|Crystalborn|crystallize""),""Ramp "","""")&amp;IF(REGEXMATCH($E24,""Demon""),""Demon "","""")&amp;IF(REGEXMATCH($E24,""bury|buries|Bury|Buries|Cleanse|puts a Unit|trail|Trail""),""Control "","""")&amp;IF(REGEXMA"&amp;"TCH($E24,""Bounce|Return|Copy|bounce|return|copy""),""Copy "","""")&amp;IF(REGEXMATCH($E24,""conquer|Conquer|leading in lanes|lead by""),""Aggro "","""")&amp;IF(REGEXMATCH($E24,""Ascend|ascend""),""Ascend "","""")&amp;IF(REGEXMATCH($E24,""Bury .+ Crystal|.*crystal.*b"&amp;"ury""),""Empty-Crystal"","""")&amp;IF(REGEXMATCH($E24,""Move|move""),""Move"","""")"),"Ramp Copy ")</f>
        <v>Ramp Copy </v>
      </c>
      <c r="G24" s="12" t="s">
        <v>1534</v>
      </c>
      <c r="H24" s="11">
        <v>4.0</v>
      </c>
      <c r="I24" s="11" t="s">
        <v>571</v>
      </c>
      <c r="J24" s="11" t="s">
        <v>50</v>
      </c>
      <c r="L24" s="13" t="str">
        <f>IFERROR(__xludf.DUMMYFUNCTION("IF(REGEXMATCH($B24,'1. Karten'!L$1),$D24,"""")"),"Dragon")</f>
        <v>Dragon</v>
      </c>
      <c r="M24" s="13" t="str">
        <f>IFERROR(__xludf.DUMMYFUNCTION("IF(REGEXMATCH($B24,'1. Karten'!M$1),$D24,"""")"),"")</f>
        <v/>
      </c>
      <c r="N24" s="13" t="str">
        <f>IFERROR(__xludf.DUMMYFUNCTION("IF(REGEXMATCH($B24,'1. Karten'!N$1),$D24,"""")"),"")</f>
        <v/>
      </c>
      <c r="O24" s="13" t="str">
        <f>IFERROR(__xludf.DUMMYFUNCTION("IF(REGEXMATCH($B24,'1. Karten'!O$1),$D24,"""")"),"")</f>
        <v/>
      </c>
      <c r="P24" s="13" t="str">
        <f>IFERROR(__xludf.DUMMYFUNCTION("IF(REGEXMATCH($B24,'1. Karten'!P$1),$D24,"""")"),"")</f>
        <v/>
      </c>
      <c r="Q24" s="13">
        <f>IFERROR(__xludf.DUMMYFUNCTION("IF($A24="""","""",LEN(REGEXREPLACE($I24,"",\s?"","""")))"),5.0)</f>
        <v>5</v>
      </c>
    </row>
    <row r="25">
      <c r="A25" s="10" t="s">
        <v>1535</v>
      </c>
      <c r="B25" s="10" t="s">
        <v>220</v>
      </c>
      <c r="C25" s="11">
        <v>3.0</v>
      </c>
      <c r="D25" s="11" t="s">
        <v>101</v>
      </c>
      <c r="E25" s="10" t="s">
        <v>1536</v>
      </c>
      <c r="F25" s="10" t="str">
        <f>IFERROR(__xludf.DUMMYFUNCTION("IF(REGEXMATCH($E25,""Wizard""),""Wizard "","""")&amp;IF(REGEXMATCH($E25,""Construct""),""Construct "","""")&amp;IF(REGEXMATCH($E25,""Insect""),""Insect "","""")&amp;IF(REGEXMATCH($E25,""Dragon""),""Dragon "","""")&amp;IF(REGEXMATCH($E25,""Human""),""Human "","""")&amp;IF(REG"&amp;"EXMATCH($E25,""Hunter""),""Hunter "","""")&amp;IF(REGEXMATCH($E25,""Animal""),""Animal "","""")&amp;IF(REGEXMATCH($E25,""Undead""),""Undead "","""")&amp;IF(REGEXMATCH($E25,""Plant""),""Plant "","""")&amp;IF(REGEXMATCH($E25,""Dinosaur""),""Dinosaur "","""")&amp;IF(REGEXMATCH("&amp;"$E25,""Warrior""),""Warrior "","""")&amp;IF(REGEXMATCH($E25,""Spirit""),""Spirit "","""")&amp;IF(REGEXMATCH($E25,""Angel""),""Angel "","""")&amp;IF(REGEXMATCH($E25,""Demon""),""Demon "","""")&amp;IF(REGEXMATCH($E25,""Divine""),""Divine "","""")&amp;IF(REGEXMATCH($E25,""Eleme"&amp;"ntal""),""Elemental "","""")&amp;IF(REGEXMATCH($E25,""Nature""),""Nature "","""")&amp;IF(REGEXMATCH($E25,""Mortal""),""Mortal "","""")&amp;IF(REGEXMATCH($E25,""Void""),""Void "","""")&amp;IF(REGEXMATCH($E25,""Unearth|Ambush|Ritual|unearth|ambush|ritual""),""Unearth "","""&amp;""")&amp;IF(REGEXMATCH($E25,""Unleash|Crystallize|all realms|Crystalborn|crystallize""),""Ramp "","""")&amp;IF(REGEXMATCH($E25,""Demon""),""Demon "","""")&amp;IF(REGEXMATCH($E25,""bury|buries|Bury|Buries|Cleanse|puts a Unit|trail|Trail""),""Control "","""")&amp;IF(REGEXMA"&amp;"TCH($E25,""Bounce|Return|Copy|bounce|return|copy""),""Copy "","""")&amp;IF(REGEXMATCH($E25,""conquer|Conquer|leading in lanes|lead by""),""Aggro "","""")&amp;IF(REGEXMATCH($E25,""Ascend|ascend""),""Ascend "","""")&amp;IF(REGEXMATCH($E25,""Bury .+ Crystal|.*crystal.*b"&amp;"ury""),""Empty-Crystal"","""")&amp;IF(REGEXMATCH($E25,""Move|move""),""Move"","""")"),"Mortal ")</f>
        <v>Mortal </v>
      </c>
      <c r="G25" s="12" t="s">
        <v>1537</v>
      </c>
      <c r="H25" s="11">
        <v>3.0</v>
      </c>
      <c r="I25" s="11" t="s">
        <v>238</v>
      </c>
      <c r="J25" s="11" t="s">
        <v>50</v>
      </c>
      <c r="L25" s="13" t="str">
        <f>IFERROR(__xludf.DUMMYFUNCTION("IF(REGEXMATCH($B25,'1. Karten'!L$1),$D25,"""")"),"")</f>
        <v/>
      </c>
      <c r="M25" s="13" t="str">
        <f>IFERROR(__xludf.DUMMYFUNCTION("IF(REGEXMATCH($B25,'1. Karten'!M$1),$D25,"""")"),"")</f>
        <v/>
      </c>
      <c r="N25" s="13" t="str">
        <f>IFERROR(__xludf.DUMMYFUNCTION("IF(REGEXMATCH($B25,'1. Karten'!N$1),$D25,"""")"),"")</f>
        <v/>
      </c>
      <c r="O25" s="13" t="str">
        <f>IFERROR(__xludf.DUMMYFUNCTION("IF(REGEXMATCH($B25,'1. Karten'!O$1),$D25,"""")"),"Angel Spirit")</f>
        <v>Angel Spirit</v>
      </c>
      <c r="P25" s="13" t="str">
        <f>IFERROR(__xludf.DUMMYFUNCTION("IF(REGEXMATCH($B25,'1. Karten'!P$1),$D25,"""")"),"Angel Spirit")</f>
        <v>Angel Spirit</v>
      </c>
      <c r="Q25" s="13">
        <f>IFERROR(__xludf.DUMMYFUNCTION("IF($A25="""","""",LEN(REGEXREPLACE($I25,"",\s?"","""")))"),4.0)</f>
        <v>4</v>
      </c>
    </row>
    <row r="26">
      <c r="C26" s="89"/>
      <c r="E26" s="19" t="s">
        <v>1538</v>
      </c>
      <c r="I26" s="56"/>
      <c r="J26" s="89"/>
      <c r="K26" s="89"/>
    </row>
    <row r="27">
      <c r="C27" s="89"/>
      <c r="D27" s="19" t="s">
        <v>1202</v>
      </c>
      <c r="I27" s="56"/>
      <c r="J27" s="89"/>
      <c r="K27" s="89"/>
    </row>
    <row r="28">
      <c r="C28" s="89"/>
      <c r="E28" s="19" t="s">
        <v>1539</v>
      </c>
      <c r="I28" s="56"/>
      <c r="J28" s="89"/>
      <c r="K28" s="89"/>
    </row>
    <row r="29">
      <c r="A29" s="19" t="s">
        <v>1540</v>
      </c>
      <c r="B29" s="19" t="s">
        <v>12</v>
      </c>
      <c r="C29" s="18">
        <v>3.0</v>
      </c>
      <c r="D29" s="19" t="s">
        <v>44</v>
      </c>
      <c r="E29" s="19" t="s">
        <v>1541</v>
      </c>
      <c r="I29" s="56"/>
      <c r="J29" s="18">
        <v>1.0</v>
      </c>
      <c r="K29" s="18" t="s">
        <v>1042</v>
      </c>
      <c r="L29" s="19" t="s">
        <v>42</v>
      </c>
    </row>
    <row r="30">
      <c r="C30" s="89"/>
      <c r="E30" s="19" t="s">
        <v>1542</v>
      </c>
      <c r="I30" s="56"/>
      <c r="J30" s="89"/>
      <c r="K30" s="89"/>
    </row>
    <row r="31">
      <c r="A31" s="19" t="s">
        <v>1543</v>
      </c>
      <c r="B31" s="19" t="s">
        <v>14</v>
      </c>
      <c r="C31" s="89"/>
      <c r="D31" s="19" t="s">
        <v>541</v>
      </c>
      <c r="E31" s="19" t="s">
        <v>1544</v>
      </c>
      <c r="I31" s="56"/>
      <c r="J31" s="89"/>
      <c r="K31" s="89"/>
    </row>
    <row r="32">
      <c r="A32" s="10" t="s">
        <v>1545</v>
      </c>
      <c r="B32" s="10" t="s">
        <v>14</v>
      </c>
      <c r="C32" s="11">
        <v>3.0</v>
      </c>
      <c r="D32" s="18" t="s">
        <v>345</v>
      </c>
      <c r="F32" s="10" t="str">
        <f>IFERROR(__xludf.DUMMYFUNCTION("IF(REGEXMATCH($E32,""Wizard""),""Wizard "","""")&amp;IF(REGEXMATCH($E32,""Construct""),""Construct "","""")&amp;IF(REGEXMATCH($E32,""Insect""),""Insect "","""")&amp;IF(REGEXMATCH($E32,""Dragon""),""Dragon "","""")&amp;IF(REGEXMATCH($E32,""Human""),""Human "","""")&amp;IF(REG"&amp;"EXMATCH($E32,""Hunter""),""Hunter "","""")&amp;IF(REGEXMATCH($E32,""Animal""),""Animal "","""")&amp;IF(REGEXMATCH($E32,""Undead""),""Undead "","""")&amp;IF(REGEXMATCH($E32,""Plant""),""Plant "","""")&amp;IF(REGEXMATCH($E32,""Dinosaur""),""Dinosaur "","""")&amp;IF(REGEXMATCH("&amp;"$E32,""Warrior""),""Warrior "","""")&amp;IF(REGEXMATCH($E32,""Spirit""),""Spirit "","""")&amp;IF(REGEXMATCH($E32,""Angel""),""Angel "","""")&amp;IF(REGEXMATCH($E32,""Demon""),""Demon "","""")&amp;IF(REGEXMATCH($E32,""Divine""),""Divine "","""")&amp;IF(REGEXMATCH($E32,""Eleme"&amp;"ntal""),""Elemental "","""")&amp;IF(REGEXMATCH($E32,""Nature""),""Nature "","""")&amp;IF(REGEXMATCH($E32,""Mortal""),""Mortal "","""")&amp;IF(REGEXMATCH($E32,""Void""),""Void "","""")&amp;IF(REGEXMATCH($E32,""Unearth|Ambush|Ritual|unearth|ambush|ritual""),""Unearth "","""&amp;""")&amp;IF(REGEXMATCH($E32,""Unleash|Crystallize|all realms|Crystalborn|crystallize""),""Ramp "","""")&amp;IF(REGEXMATCH($E32,""Demon""),""Demon "","""")&amp;IF(REGEXMATCH($E32,""bury|buries|Bury|Buries|Cleanse|puts a Unit|trail|Trail""),""Control "","""")&amp;IF(REGEXMA"&amp;"TCH($E32,""Bounce|Return|Copy|bounce|return|copy""),""Copy "","""")&amp;IF(REGEXMATCH($E32,""conquer|Conquer|leading in lanes|lead by""),""Aggro "","""")&amp;IF(REGEXMATCH($E32,""Ascend|ascend""),""Ascend "","""")&amp;IF(REGEXMATCH($E32,""Bury .+ Crystal|.*crystal.*b"&amp;"ury""),""Empty-Crystal"","""")&amp;IF(REGEXMATCH($E32,""Move|move""),""Move"","""")"),"")</f>
        <v/>
      </c>
      <c r="G32" s="20" t="s">
        <v>980</v>
      </c>
      <c r="H32" s="18">
        <v>3.0</v>
      </c>
      <c r="I32" s="18" t="s">
        <v>738</v>
      </c>
      <c r="J32" s="11" t="s">
        <v>42</v>
      </c>
      <c r="L32" s="13" t="str">
        <f>IFERROR(__xludf.DUMMYFUNCTION("IF(REGEXMATCH($B32,L$1),$D32,"""")"),"")</f>
        <v/>
      </c>
      <c r="M32" s="13" t="str">
        <f>IFERROR(__xludf.DUMMYFUNCTION("IF(REGEXMATCH($B32,M$1),$D32,"""")"),"")</f>
        <v/>
      </c>
      <c r="N32" s="13" t="str">
        <f>IFERROR(__xludf.DUMMYFUNCTION("IF(REGEXMATCH($B32,N$1),$D32,"""")"),"")</f>
        <v/>
      </c>
      <c r="O32" s="13" t="str">
        <f>IFERROR(__xludf.DUMMYFUNCTION("IF(REGEXMATCH($B32,O$1),$D32,"""")"),"")</f>
        <v/>
      </c>
      <c r="P32" s="13" t="str">
        <f>IFERROR(__xludf.DUMMYFUNCTION("IF(REGEXMATCH($B32,P$1),$D32,"""")"),"Human Wizard")</f>
        <v>Human Wizard</v>
      </c>
      <c r="Q32" s="13">
        <f>IFERROR(__xludf.DUMMYFUNCTION("IF($A32="""","""",LEN(REGEXREPLACE($I32,"",\s?"","""")))"),3.0)</f>
        <v>3</v>
      </c>
    </row>
    <row r="33">
      <c r="A33" s="19" t="s">
        <v>1546</v>
      </c>
      <c r="E33" s="19" t="s">
        <v>1547</v>
      </c>
      <c r="I33" s="56"/>
      <c r="J33" s="89"/>
      <c r="K33" s="89"/>
    </row>
    <row r="34">
      <c r="C34" s="89"/>
      <c r="E34" s="19" t="s">
        <v>1548</v>
      </c>
      <c r="I34" s="56"/>
      <c r="J34" s="89"/>
      <c r="K34" s="89"/>
    </row>
    <row r="35">
      <c r="C35" s="89"/>
      <c r="E35" s="19" t="s">
        <v>1549</v>
      </c>
      <c r="I35" s="56"/>
      <c r="J35" s="89"/>
      <c r="K35" s="89"/>
    </row>
    <row r="36">
      <c r="C36" s="89"/>
      <c r="E36" s="19" t="s">
        <v>1550</v>
      </c>
      <c r="I36" s="56"/>
      <c r="J36" s="89"/>
      <c r="K36" s="89"/>
    </row>
    <row r="37">
      <c r="C37" s="89"/>
      <c r="I37" s="56"/>
      <c r="J37" s="89"/>
      <c r="K37" s="89"/>
    </row>
    <row r="38">
      <c r="C38" s="89"/>
      <c r="I38" s="56"/>
      <c r="J38" s="89"/>
      <c r="K38" s="89"/>
    </row>
    <row r="39">
      <c r="C39" s="89"/>
      <c r="I39" s="56"/>
      <c r="J39" s="89"/>
      <c r="K39" s="89"/>
    </row>
    <row r="40">
      <c r="C40" s="89"/>
      <c r="I40" s="56"/>
      <c r="J40" s="89"/>
      <c r="K40" s="89"/>
    </row>
    <row r="41">
      <c r="C41" s="89"/>
      <c r="I41" s="56"/>
      <c r="J41" s="89"/>
      <c r="K41" s="89"/>
    </row>
    <row r="42">
      <c r="C42" s="89"/>
      <c r="I42" s="56"/>
      <c r="J42" s="89"/>
      <c r="K42" s="89"/>
    </row>
    <row r="43">
      <c r="C43" s="89"/>
      <c r="I43" s="56"/>
      <c r="J43" s="89"/>
      <c r="K43" s="89"/>
    </row>
    <row r="44">
      <c r="C44" s="89"/>
      <c r="I44" s="56"/>
      <c r="J44" s="89"/>
      <c r="K44" s="89"/>
    </row>
    <row r="45">
      <c r="C45" s="89"/>
      <c r="I45" s="56"/>
      <c r="J45" s="89"/>
      <c r="K45" s="89"/>
    </row>
    <row r="46">
      <c r="C46" s="89"/>
      <c r="I46" s="56"/>
      <c r="J46" s="89"/>
      <c r="K46" s="89"/>
    </row>
    <row r="47">
      <c r="C47" s="89"/>
      <c r="I47" s="56"/>
      <c r="J47" s="89"/>
      <c r="K47" s="89"/>
    </row>
    <row r="48">
      <c r="C48" s="89"/>
      <c r="I48" s="56"/>
      <c r="J48" s="89"/>
      <c r="K48" s="89"/>
    </row>
    <row r="49">
      <c r="C49" s="89"/>
      <c r="I49" s="56"/>
      <c r="J49" s="89"/>
      <c r="K49" s="89"/>
    </row>
    <row r="50">
      <c r="C50" s="89"/>
      <c r="I50" s="56"/>
      <c r="J50" s="89"/>
      <c r="K50" s="89"/>
    </row>
    <row r="51">
      <c r="C51" s="89"/>
      <c r="I51" s="56"/>
      <c r="J51" s="89"/>
      <c r="K51" s="89"/>
    </row>
    <row r="52">
      <c r="C52" s="89"/>
      <c r="I52" s="56"/>
      <c r="J52" s="89"/>
      <c r="K52" s="89"/>
    </row>
    <row r="53">
      <c r="C53" s="89"/>
      <c r="I53" s="56"/>
      <c r="J53" s="89"/>
      <c r="K53" s="89"/>
    </row>
    <row r="54">
      <c r="C54" s="89"/>
      <c r="I54" s="56"/>
      <c r="J54" s="89"/>
      <c r="K54" s="89"/>
    </row>
    <row r="55">
      <c r="C55" s="89"/>
      <c r="I55" s="56"/>
      <c r="J55" s="89"/>
      <c r="K55" s="89"/>
    </row>
    <row r="56">
      <c r="C56" s="89"/>
      <c r="I56" s="56"/>
      <c r="J56" s="89"/>
      <c r="K56" s="89"/>
    </row>
    <row r="57">
      <c r="C57" s="89"/>
      <c r="I57" s="56"/>
      <c r="J57" s="89"/>
      <c r="K57" s="89"/>
    </row>
    <row r="58">
      <c r="C58" s="89"/>
      <c r="I58" s="56"/>
      <c r="J58" s="89"/>
      <c r="K58" s="89"/>
    </row>
    <row r="59">
      <c r="C59" s="89"/>
      <c r="I59" s="56"/>
      <c r="J59" s="89"/>
      <c r="K59" s="89"/>
    </row>
    <row r="60">
      <c r="C60" s="89"/>
      <c r="I60" s="56"/>
      <c r="J60" s="89"/>
      <c r="K60" s="89"/>
    </row>
    <row r="61">
      <c r="C61" s="89"/>
      <c r="I61" s="56"/>
      <c r="J61" s="89"/>
      <c r="K61" s="89"/>
    </row>
    <row r="62">
      <c r="C62" s="89"/>
      <c r="I62" s="56"/>
      <c r="J62" s="89"/>
      <c r="K62" s="89"/>
    </row>
    <row r="63">
      <c r="C63" s="89"/>
      <c r="I63" s="56"/>
      <c r="J63" s="89"/>
      <c r="K63" s="89"/>
    </row>
    <row r="64">
      <c r="C64" s="89"/>
      <c r="I64" s="56"/>
      <c r="J64" s="89"/>
      <c r="K64" s="89"/>
    </row>
    <row r="65">
      <c r="C65" s="89"/>
      <c r="I65" s="56"/>
      <c r="J65" s="89"/>
      <c r="K65" s="89"/>
    </row>
    <row r="66">
      <c r="C66" s="89"/>
      <c r="I66" s="56"/>
      <c r="J66" s="89"/>
      <c r="K66" s="89"/>
    </row>
    <row r="67">
      <c r="C67" s="89"/>
      <c r="I67" s="56"/>
      <c r="J67" s="89"/>
      <c r="K67" s="89"/>
    </row>
    <row r="68">
      <c r="C68" s="89"/>
      <c r="I68" s="56"/>
      <c r="J68" s="89"/>
      <c r="K68" s="89"/>
    </row>
    <row r="69">
      <c r="C69" s="89"/>
      <c r="I69" s="56"/>
      <c r="J69" s="89"/>
      <c r="K69" s="89"/>
    </row>
    <row r="70">
      <c r="C70" s="89"/>
      <c r="I70" s="56"/>
      <c r="J70" s="89"/>
      <c r="K70" s="89"/>
    </row>
    <row r="71">
      <c r="C71" s="89"/>
      <c r="I71" s="56"/>
      <c r="J71" s="89"/>
      <c r="K71" s="89"/>
    </row>
    <row r="72">
      <c r="C72" s="89"/>
      <c r="I72" s="56"/>
      <c r="J72" s="89"/>
      <c r="K72" s="89"/>
    </row>
    <row r="73">
      <c r="C73" s="89"/>
      <c r="I73" s="56"/>
      <c r="J73" s="89"/>
      <c r="K73" s="89"/>
    </row>
    <row r="74">
      <c r="C74" s="89"/>
      <c r="I74" s="56"/>
      <c r="J74" s="89"/>
      <c r="K74" s="89"/>
    </row>
    <row r="75">
      <c r="C75" s="89"/>
      <c r="I75" s="56"/>
      <c r="J75" s="89"/>
      <c r="K75" s="89"/>
    </row>
    <row r="76">
      <c r="C76" s="89"/>
      <c r="I76" s="56"/>
      <c r="J76" s="89"/>
      <c r="K76" s="89"/>
    </row>
    <row r="77">
      <c r="C77" s="89"/>
      <c r="I77" s="56"/>
      <c r="J77" s="89"/>
      <c r="K77" s="89"/>
    </row>
    <row r="78">
      <c r="C78" s="89"/>
      <c r="I78" s="56"/>
      <c r="J78" s="89"/>
      <c r="K78" s="89"/>
    </row>
    <row r="79">
      <c r="C79" s="89"/>
      <c r="I79" s="56"/>
      <c r="J79" s="89"/>
      <c r="K79" s="89"/>
    </row>
    <row r="80">
      <c r="C80" s="89"/>
      <c r="I80" s="56"/>
      <c r="J80" s="89"/>
      <c r="K80" s="89"/>
    </row>
    <row r="81">
      <c r="C81" s="89"/>
      <c r="I81" s="56"/>
      <c r="J81" s="89"/>
      <c r="K81" s="89"/>
    </row>
    <row r="82">
      <c r="C82" s="89"/>
      <c r="I82" s="56"/>
      <c r="J82" s="89"/>
      <c r="K82" s="89"/>
    </row>
    <row r="83">
      <c r="C83" s="89"/>
      <c r="I83" s="56"/>
      <c r="J83" s="89"/>
      <c r="K83" s="89"/>
    </row>
    <row r="84">
      <c r="C84" s="89"/>
      <c r="I84" s="56"/>
      <c r="J84" s="89"/>
      <c r="K84" s="89"/>
    </row>
    <row r="85">
      <c r="C85" s="89"/>
      <c r="I85" s="56"/>
      <c r="J85" s="89"/>
      <c r="K85" s="89"/>
    </row>
    <row r="86">
      <c r="C86" s="89"/>
      <c r="I86" s="56"/>
      <c r="J86" s="89"/>
      <c r="K86" s="89"/>
    </row>
    <row r="87">
      <c r="C87" s="89"/>
      <c r="I87" s="56"/>
      <c r="J87" s="89"/>
      <c r="K87" s="89"/>
    </row>
    <row r="88">
      <c r="C88" s="89"/>
      <c r="I88" s="56"/>
      <c r="J88" s="89"/>
      <c r="K88" s="89"/>
    </row>
    <row r="89">
      <c r="C89" s="89"/>
      <c r="I89" s="56"/>
      <c r="J89" s="89"/>
      <c r="K89" s="89"/>
    </row>
    <row r="90">
      <c r="C90" s="89"/>
      <c r="I90" s="56"/>
      <c r="J90" s="89"/>
      <c r="K90" s="89"/>
    </row>
    <row r="91">
      <c r="C91" s="89"/>
      <c r="I91" s="56"/>
      <c r="J91" s="89"/>
      <c r="K91" s="89"/>
    </row>
    <row r="92">
      <c r="C92" s="89"/>
      <c r="I92" s="56"/>
      <c r="J92" s="89"/>
      <c r="K92" s="89"/>
    </row>
    <row r="93">
      <c r="C93" s="89"/>
      <c r="I93" s="56"/>
      <c r="J93" s="89"/>
      <c r="K93" s="89"/>
    </row>
    <row r="94">
      <c r="C94" s="89"/>
      <c r="I94" s="56"/>
      <c r="J94" s="89"/>
      <c r="K94" s="89"/>
    </row>
    <row r="95">
      <c r="C95" s="89"/>
      <c r="I95" s="56"/>
      <c r="J95" s="89"/>
      <c r="K95" s="89"/>
    </row>
    <row r="96">
      <c r="C96" s="89"/>
      <c r="I96" s="56"/>
      <c r="J96" s="89"/>
      <c r="K96" s="89"/>
    </row>
    <row r="97">
      <c r="C97" s="89"/>
      <c r="I97" s="56"/>
      <c r="J97" s="89"/>
      <c r="K97" s="89"/>
    </row>
    <row r="98">
      <c r="C98" s="89"/>
      <c r="I98" s="56"/>
      <c r="J98" s="89"/>
      <c r="K98" s="89"/>
    </row>
    <row r="99">
      <c r="C99" s="89"/>
      <c r="I99" s="56"/>
      <c r="J99" s="89"/>
      <c r="K99" s="89"/>
    </row>
    <row r="100">
      <c r="C100" s="89"/>
      <c r="I100" s="56"/>
      <c r="J100" s="89"/>
      <c r="K100" s="89"/>
    </row>
    <row r="101">
      <c r="C101" s="89"/>
      <c r="I101" s="56"/>
      <c r="J101" s="89"/>
      <c r="K101" s="89"/>
    </row>
    <row r="102">
      <c r="C102" s="89"/>
      <c r="I102" s="56"/>
      <c r="J102" s="89"/>
      <c r="K102" s="89"/>
    </row>
    <row r="103">
      <c r="C103" s="89"/>
      <c r="I103" s="56"/>
      <c r="J103" s="89"/>
      <c r="K103" s="89"/>
    </row>
    <row r="104">
      <c r="C104" s="89"/>
      <c r="I104" s="56"/>
      <c r="J104" s="89"/>
      <c r="K104" s="89"/>
    </row>
    <row r="105">
      <c r="C105" s="89"/>
      <c r="I105" s="56"/>
      <c r="J105" s="89"/>
      <c r="K105" s="89"/>
    </row>
    <row r="106">
      <c r="C106" s="89"/>
      <c r="I106" s="56"/>
      <c r="J106" s="89"/>
      <c r="K106" s="89"/>
    </row>
    <row r="107">
      <c r="C107" s="89"/>
      <c r="I107" s="56"/>
      <c r="J107" s="89"/>
      <c r="K107" s="89"/>
    </row>
    <row r="108">
      <c r="C108" s="89"/>
      <c r="I108" s="56"/>
      <c r="J108" s="89"/>
      <c r="K108" s="89"/>
    </row>
    <row r="109">
      <c r="C109" s="89"/>
      <c r="I109" s="56"/>
      <c r="J109" s="89"/>
      <c r="K109" s="89"/>
    </row>
    <row r="110">
      <c r="C110" s="89"/>
      <c r="I110" s="56"/>
      <c r="J110" s="89"/>
      <c r="K110" s="89"/>
    </row>
    <row r="111">
      <c r="C111" s="89"/>
      <c r="I111" s="56"/>
      <c r="J111" s="89"/>
      <c r="K111" s="89"/>
    </row>
    <row r="112">
      <c r="C112" s="89"/>
      <c r="I112" s="56"/>
      <c r="J112" s="89"/>
      <c r="K112" s="89"/>
    </row>
    <row r="113">
      <c r="C113" s="89"/>
      <c r="I113" s="56"/>
      <c r="J113" s="89"/>
      <c r="K113" s="89"/>
    </row>
    <row r="114">
      <c r="C114" s="89"/>
      <c r="I114" s="56"/>
      <c r="J114" s="89"/>
      <c r="K114" s="89"/>
    </row>
    <row r="115">
      <c r="C115" s="89"/>
      <c r="I115" s="56"/>
      <c r="J115" s="89"/>
      <c r="K115" s="89"/>
    </row>
    <row r="116">
      <c r="C116" s="89"/>
      <c r="I116" s="56"/>
      <c r="J116" s="89"/>
      <c r="K116" s="89"/>
    </row>
    <row r="117">
      <c r="C117" s="89"/>
      <c r="I117" s="56"/>
      <c r="J117" s="89"/>
      <c r="K117" s="89"/>
    </row>
    <row r="118">
      <c r="C118" s="89"/>
      <c r="I118" s="56"/>
      <c r="J118" s="89"/>
      <c r="K118" s="89"/>
    </row>
    <row r="119">
      <c r="C119" s="89"/>
      <c r="I119" s="56"/>
      <c r="J119" s="89"/>
      <c r="K119" s="89"/>
    </row>
    <row r="120">
      <c r="C120" s="89"/>
      <c r="I120" s="56"/>
      <c r="J120" s="89"/>
      <c r="K120" s="89"/>
    </row>
    <row r="121">
      <c r="C121" s="89"/>
      <c r="I121" s="56"/>
      <c r="J121" s="89"/>
      <c r="K121" s="89"/>
    </row>
    <row r="122">
      <c r="C122" s="89"/>
      <c r="I122" s="56"/>
      <c r="J122" s="89"/>
      <c r="K122" s="89"/>
    </row>
    <row r="123">
      <c r="C123" s="89"/>
      <c r="I123" s="56"/>
      <c r="J123" s="89"/>
      <c r="K123" s="89"/>
    </row>
    <row r="124">
      <c r="C124" s="89"/>
      <c r="I124" s="56"/>
      <c r="J124" s="89"/>
      <c r="K124" s="89"/>
    </row>
    <row r="125">
      <c r="C125" s="89"/>
      <c r="I125" s="56"/>
      <c r="J125" s="89"/>
      <c r="K125" s="89"/>
    </row>
    <row r="126">
      <c r="C126" s="89"/>
      <c r="I126" s="56"/>
      <c r="J126" s="89"/>
      <c r="K126" s="89"/>
    </row>
    <row r="127">
      <c r="C127" s="89"/>
      <c r="I127" s="56"/>
      <c r="J127" s="89"/>
      <c r="K127" s="89"/>
    </row>
    <row r="128">
      <c r="C128" s="89"/>
      <c r="I128" s="56"/>
      <c r="J128" s="89"/>
      <c r="K128" s="89"/>
    </row>
    <row r="129">
      <c r="C129" s="89"/>
      <c r="I129" s="56"/>
      <c r="J129" s="89"/>
      <c r="K129" s="89"/>
    </row>
    <row r="130">
      <c r="C130" s="89"/>
      <c r="I130" s="56"/>
      <c r="J130" s="89"/>
      <c r="K130" s="89"/>
    </row>
    <row r="131">
      <c r="C131" s="89"/>
      <c r="I131" s="56"/>
      <c r="J131" s="89"/>
      <c r="K131" s="89"/>
    </row>
    <row r="132">
      <c r="C132" s="89"/>
      <c r="I132" s="56"/>
      <c r="J132" s="89"/>
      <c r="K132" s="89"/>
    </row>
    <row r="133">
      <c r="C133" s="89"/>
      <c r="I133" s="56"/>
      <c r="J133" s="89"/>
      <c r="K133" s="89"/>
    </row>
    <row r="134">
      <c r="C134" s="89"/>
      <c r="I134" s="56"/>
      <c r="J134" s="89"/>
      <c r="K134" s="89"/>
    </row>
    <row r="135">
      <c r="C135" s="89"/>
      <c r="I135" s="56"/>
      <c r="J135" s="89"/>
      <c r="K135" s="89"/>
    </row>
    <row r="136">
      <c r="C136" s="89"/>
      <c r="I136" s="56"/>
      <c r="J136" s="89"/>
      <c r="K136" s="89"/>
    </row>
    <row r="137">
      <c r="C137" s="89"/>
      <c r="I137" s="56"/>
      <c r="J137" s="89"/>
      <c r="K137" s="89"/>
    </row>
    <row r="138">
      <c r="C138" s="89"/>
      <c r="I138" s="56"/>
      <c r="J138" s="89"/>
      <c r="K138" s="89"/>
    </row>
    <row r="139">
      <c r="C139" s="89"/>
      <c r="I139" s="56"/>
      <c r="J139" s="89"/>
      <c r="K139" s="89"/>
    </row>
    <row r="140">
      <c r="C140" s="89"/>
      <c r="I140" s="56"/>
      <c r="J140" s="89"/>
      <c r="K140" s="89"/>
    </row>
    <row r="141">
      <c r="C141" s="89"/>
      <c r="I141" s="56"/>
      <c r="J141" s="89"/>
      <c r="K141" s="89"/>
    </row>
    <row r="142">
      <c r="C142" s="89"/>
      <c r="I142" s="56"/>
      <c r="J142" s="89"/>
      <c r="K142" s="89"/>
    </row>
    <row r="143">
      <c r="C143" s="89"/>
      <c r="I143" s="56"/>
      <c r="J143" s="89"/>
      <c r="K143" s="89"/>
    </row>
    <row r="144">
      <c r="C144" s="89"/>
      <c r="I144" s="56"/>
      <c r="J144" s="89"/>
      <c r="K144" s="89"/>
    </row>
    <row r="145">
      <c r="C145" s="89"/>
      <c r="I145" s="56"/>
      <c r="J145" s="89"/>
      <c r="K145" s="89"/>
    </row>
    <row r="146">
      <c r="C146" s="89"/>
      <c r="I146" s="56"/>
      <c r="J146" s="89"/>
      <c r="K146" s="89"/>
    </row>
    <row r="147">
      <c r="C147" s="89"/>
      <c r="I147" s="56"/>
      <c r="J147" s="89"/>
      <c r="K147" s="89"/>
    </row>
    <row r="148">
      <c r="C148" s="89"/>
      <c r="I148" s="56"/>
      <c r="J148" s="89"/>
      <c r="K148" s="89"/>
    </row>
    <row r="149">
      <c r="C149" s="89"/>
      <c r="I149" s="56"/>
      <c r="J149" s="89"/>
      <c r="K149" s="89"/>
    </row>
    <row r="150">
      <c r="C150" s="89"/>
      <c r="I150" s="56"/>
      <c r="J150" s="89"/>
      <c r="K150" s="89"/>
    </row>
    <row r="151">
      <c r="C151" s="89"/>
      <c r="I151" s="56"/>
      <c r="J151" s="89"/>
      <c r="K151" s="89"/>
    </row>
    <row r="152">
      <c r="C152" s="89"/>
      <c r="I152" s="56"/>
      <c r="J152" s="89"/>
      <c r="K152" s="89"/>
    </row>
    <row r="153">
      <c r="C153" s="89"/>
      <c r="I153" s="56"/>
      <c r="J153" s="89"/>
      <c r="K153" s="89"/>
    </row>
    <row r="154">
      <c r="C154" s="89"/>
      <c r="I154" s="56"/>
      <c r="J154" s="89"/>
      <c r="K154" s="89"/>
    </row>
    <row r="155">
      <c r="C155" s="89"/>
      <c r="I155" s="56"/>
      <c r="J155" s="89"/>
      <c r="K155" s="89"/>
    </row>
    <row r="156">
      <c r="C156" s="89"/>
      <c r="I156" s="56"/>
      <c r="J156" s="89"/>
      <c r="K156" s="89"/>
    </row>
    <row r="157">
      <c r="C157" s="89"/>
      <c r="I157" s="56"/>
      <c r="J157" s="89"/>
      <c r="K157" s="89"/>
    </row>
    <row r="158">
      <c r="C158" s="89"/>
      <c r="I158" s="56"/>
      <c r="J158" s="89"/>
      <c r="K158" s="89"/>
    </row>
    <row r="159">
      <c r="C159" s="89"/>
      <c r="I159" s="56"/>
      <c r="J159" s="89"/>
      <c r="K159" s="89"/>
    </row>
    <row r="160">
      <c r="C160" s="89"/>
      <c r="I160" s="56"/>
      <c r="J160" s="89"/>
      <c r="K160" s="89"/>
    </row>
    <row r="161">
      <c r="C161" s="89"/>
      <c r="I161" s="56"/>
      <c r="J161" s="89"/>
      <c r="K161" s="89"/>
    </row>
    <row r="162">
      <c r="C162" s="89"/>
      <c r="I162" s="56"/>
      <c r="J162" s="89"/>
      <c r="K162" s="89"/>
    </row>
    <row r="163">
      <c r="C163" s="89"/>
      <c r="I163" s="56"/>
      <c r="J163" s="89"/>
      <c r="K163" s="89"/>
    </row>
    <row r="164">
      <c r="C164" s="89"/>
      <c r="I164" s="56"/>
      <c r="J164" s="89"/>
      <c r="K164" s="89"/>
    </row>
    <row r="165">
      <c r="C165" s="89"/>
      <c r="I165" s="56"/>
      <c r="J165" s="89"/>
      <c r="K165" s="89"/>
    </row>
    <row r="166">
      <c r="C166" s="89"/>
      <c r="I166" s="56"/>
      <c r="J166" s="89"/>
      <c r="K166" s="89"/>
    </row>
    <row r="167">
      <c r="C167" s="89"/>
      <c r="I167" s="56"/>
      <c r="J167" s="89"/>
      <c r="K167" s="89"/>
    </row>
    <row r="168">
      <c r="C168" s="89"/>
      <c r="I168" s="56"/>
      <c r="J168" s="89"/>
      <c r="K168" s="89"/>
    </row>
    <row r="169">
      <c r="C169" s="89"/>
      <c r="I169" s="56"/>
      <c r="J169" s="89"/>
      <c r="K169" s="89"/>
    </row>
    <row r="170">
      <c r="C170" s="89"/>
      <c r="I170" s="56"/>
      <c r="J170" s="89"/>
      <c r="K170" s="89"/>
    </row>
    <row r="171">
      <c r="C171" s="89"/>
      <c r="I171" s="56"/>
      <c r="J171" s="89"/>
      <c r="K171" s="89"/>
    </row>
    <row r="172">
      <c r="C172" s="89"/>
      <c r="I172" s="56"/>
      <c r="J172" s="89"/>
      <c r="K172" s="89"/>
    </row>
    <row r="173">
      <c r="C173" s="89"/>
      <c r="I173" s="56"/>
      <c r="J173" s="89"/>
      <c r="K173" s="89"/>
    </row>
    <row r="174">
      <c r="C174" s="89"/>
      <c r="I174" s="56"/>
      <c r="J174" s="89"/>
      <c r="K174" s="89"/>
    </row>
    <row r="175">
      <c r="C175" s="89"/>
      <c r="I175" s="56"/>
      <c r="J175" s="89"/>
      <c r="K175" s="89"/>
    </row>
    <row r="176">
      <c r="C176" s="89"/>
      <c r="I176" s="56"/>
      <c r="J176" s="89"/>
      <c r="K176" s="89"/>
    </row>
    <row r="177">
      <c r="C177" s="89"/>
      <c r="I177" s="56"/>
      <c r="J177" s="89"/>
      <c r="K177" s="89"/>
    </row>
    <row r="178">
      <c r="C178" s="89"/>
      <c r="I178" s="56"/>
      <c r="J178" s="89"/>
      <c r="K178" s="89"/>
    </row>
    <row r="179">
      <c r="C179" s="89"/>
      <c r="I179" s="56"/>
      <c r="J179" s="89"/>
      <c r="K179" s="89"/>
    </row>
    <row r="180">
      <c r="C180" s="89"/>
      <c r="I180" s="56"/>
      <c r="J180" s="89"/>
      <c r="K180" s="89"/>
    </row>
    <row r="181">
      <c r="C181" s="89"/>
      <c r="I181" s="56"/>
      <c r="J181" s="89"/>
      <c r="K181" s="89"/>
    </row>
    <row r="182">
      <c r="C182" s="89"/>
      <c r="I182" s="56"/>
      <c r="J182" s="89"/>
      <c r="K182" s="89"/>
    </row>
    <row r="183">
      <c r="C183" s="89"/>
      <c r="I183" s="56"/>
      <c r="J183" s="89"/>
      <c r="K183" s="89"/>
    </row>
    <row r="184">
      <c r="C184" s="89"/>
      <c r="I184" s="56"/>
      <c r="J184" s="89"/>
      <c r="K184" s="89"/>
    </row>
    <row r="185">
      <c r="C185" s="89"/>
      <c r="I185" s="56"/>
      <c r="J185" s="89"/>
      <c r="K185" s="89"/>
    </row>
    <row r="186">
      <c r="C186" s="89"/>
      <c r="I186" s="56"/>
      <c r="J186" s="89"/>
      <c r="K186" s="89"/>
    </row>
    <row r="187">
      <c r="C187" s="89"/>
      <c r="I187" s="56"/>
      <c r="J187" s="89"/>
      <c r="K187" s="89"/>
    </row>
    <row r="188">
      <c r="C188" s="89"/>
      <c r="I188" s="56"/>
      <c r="J188" s="89"/>
      <c r="K188" s="89"/>
    </row>
    <row r="189">
      <c r="C189" s="89"/>
      <c r="I189" s="56"/>
      <c r="J189" s="89"/>
      <c r="K189" s="89"/>
    </row>
    <row r="190">
      <c r="C190" s="89"/>
      <c r="I190" s="56"/>
      <c r="J190" s="89"/>
      <c r="K190" s="89"/>
    </row>
    <row r="191">
      <c r="C191" s="89"/>
      <c r="I191" s="56"/>
      <c r="J191" s="89"/>
      <c r="K191" s="89"/>
    </row>
    <row r="192">
      <c r="C192" s="89"/>
      <c r="I192" s="56"/>
      <c r="J192" s="89"/>
      <c r="K192" s="89"/>
    </row>
    <row r="193">
      <c r="C193" s="89"/>
      <c r="I193" s="56"/>
      <c r="J193" s="89"/>
      <c r="K193" s="89"/>
    </row>
    <row r="194">
      <c r="C194" s="89"/>
      <c r="I194" s="56"/>
      <c r="J194" s="89"/>
      <c r="K194" s="89"/>
    </row>
    <row r="195">
      <c r="C195" s="89"/>
      <c r="I195" s="56"/>
      <c r="J195" s="89"/>
      <c r="K195" s="89"/>
    </row>
    <row r="196">
      <c r="C196" s="89"/>
      <c r="I196" s="56"/>
      <c r="J196" s="89"/>
      <c r="K196" s="89"/>
    </row>
    <row r="197">
      <c r="C197" s="89"/>
      <c r="I197" s="56"/>
      <c r="J197" s="89"/>
      <c r="K197" s="89"/>
    </row>
    <row r="198">
      <c r="C198" s="89"/>
      <c r="I198" s="56"/>
      <c r="J198" s="89"/>
      <c r="K198" s="89"/>
    </row>
    <row r="199">
      <c r="C199" s="89"/>
      <c r="I199" s="56"/>
      <c r="J199" s="89"/>
      <c r="K199" s="89"/>
    </row>
    <row r="200">
      <c r="C200" s="89"/>
      <c r="I200" s="56"/>
      <c r="J200" s="89"/>
      <c r="K200" s="89"/>
    </row>
    <row r="201">
      <c r="C201" s="89"/>
      <c r="I201" s="56"/>
      <c r="J201" s="89"/>
      <c r="K201" s="89"/>
    </row>
    <row r="202">
      <c r="C202" s="89"/>
      <c r="I202" s="56"/>
      <c r="J202" s="89"/>
      <c r="K202" s="89"/>
    </row>
    <row r="203">
      <c r="C203" s="89"/>
      <c r="I203" s="56"/>
      <c r="J203" s="89"/>
      <c r="K203" s="89"/>
    </row>
    <row r="204">
      <c r="C204" s="89"/>
      <c r="I204" s="56"/>
      <c r="J204" s="89"/>
      <c r="K204" s="89"/>
    </row>
    <row r="205">
      <c r="C205" s="89"/>
      <c r="I205" s="56"/>
      <c r="J205" s="89"/>
      <c r="K205" s="89"/>
    </row>
    <row r="206">
      <c r="C206" s="89"/>
      <c r="I206" s="56"/>
      <c r="J206" s="89"/>
      <c r="K206" s="89"/>
    </row>
    <row r="207">
      <c r="C207" s="89"/>
      <c r="I207" s="56"/>
      <c r="J207" s="89"/>
      <c r="K207" s="89"/>
    </row>
    <row r="208">
      <c r="C208" s="89"/>
      <c r="I208" s="56"/>
      <c r="J208" s="89"/>
      <c r="K208" s="89"/>
    </row>
    <row r="209">
      <c r="C209" s="89"/>
      <c r="I209" s="56"/>
      <c r="J209" s="89"/>
      <c r="K209" s="89"/>
    </row>
    <row r="210">
      <c r="C210" s="89"/>
      <c r="I210" s="56"/>
      <c r="J210" s="89"/>
      <c r="K210" s="89"/>
    </row>
    <row r="211">
      <c r="C211" s="89"/>
      <c r="I211" s="56"/>
      <c r="J211" s="89"/>
      <c r="K211" s="89"/>
    </row>
    <row r="212">
      <c r="C212" s="89"/>
      <c r="I212" s="56"/>
      <c r="J212" s="89"/>
      <c r="K212" s="89"/>
    </row>
    <row r="213">
      <c r="C213" s="89"/>
      <c r="I213" s="56"/>
      <c r="J213" s="89"/>
      <c r="K213" s="89"/>
    </row>
    <row r="214">
      <c r="C214" s="89"/>
      <c r="I214" s="56"/>
      <c r="J214" s="89"/>
      <c r="K214" s="89"/>
    </row>
    <row r="215">
      <c r="C215" s="89"/>
      <c r="I215" s="56"/>
      <c r="J215" s="89"/>
      <c r="K215" s="89"/>
    </row>
    <row r="216">
      <c r="C216" s="89"/>
      <c r="I216" s="56"/>
      <c r="J216" s="89"/>
      <c r="K216" s="89"/>
    </row>
    <row r="217">
      <c r="C217" s="89"/>
      <c r="I217" s="56"/>
      <c r="J217" s="89"/>
      <c r="K217" s="89"/>
    </row>
    <row r="218">
      <c r="C218" s="89"/>
      <c r="I218" s="56"/>
      <c r="J218" s="89"/>
      <c r="K218" s="89"/>
    </row>
    <row r="219">
      <c r="C219" s="89"/>
      <c r="I219" s="56"/>
      <c r="J219" s="89"/>
      <c r="K219" s="89"/>
    </row>
    <row r="220">
      <c r="C220" s="89"/>
      <c r="I220" s="56"/>
      <c r="J220" s="89"/>
      <c r="K220" s="89"/>
    </row>
    <row r="221">
      <c r="C221" s="89"/>
      <c r="I221" s="56"/>
      <c r="J221" s="89"/>
      <c r="K221" s="89"/>
    </row>
    <row r="222">
      <c r="C222" s="89"/>
      <c r="I222" s="56"/>
      <c r="J222" s="89"/>
      <c r="K222" s="89"/>
    </row>
    <row r="223">
      <c r="C223" s="89"/>
      <c r="I223" s="56"/>
      <c r="J223" s="89"/>
      <c r="K223" s="89"/>
    </row>
    <row r="224">
      <c r="C224" s="89"/>
      <c r="I224" s="56"/>
      <c r="J224" s="89"/>
      <c r="K224" s="89"/>
    </row>
    <row r="225">
      <c r="C225" s="89"/>
      <c r="I225" s="56"/>
      <c r="J225" s="89"/>
      <c r="K225" s="89"/>
    </row>
    <row r="226">
      <c r="C226" s="89"/>
      <c r="I226" s="56"/>
      <c r="J226" s="89"/>
      <c r="K226" s="89"/>
    </row>
    <row r="227">
      <c r="C227" s="89"/>
      <c r="I227" s="56"/>
      <c r="J227" s="89"/>
      <c r="K227" s="89"/>
    </row>
    <row r="228">
      <c r="C228" s="89"/>
      <c r="I228" s="56"/>
      <c r="J228" s="89"/>
      <c r="K228" s="89"/>
    </row>
    <row r="229">
      <c r="C229" s="89"/>
      <c r="I229" s="56"/>
      <c r="J229" s="89"/>
      <c r="K229" s="89"/>
    </row>
    <row r="230">
      <c r="C230" s="89"/>
      <c r="I230" s="56"/>
      <c r="J230" s="89"/>
      <c r="K230" s="89"/>
    </row>
    <row r="231">
      <c r="C231" s="89"/>
      <c r="I231" s="56"/>
      <c r="J231" s="89"/>
      <c r="K231" s="89"/>
    </row>
    <row r="232">
      <c r="C232" s="89"/>
      <c r="I232" s="56"/>
      <c r="J232" s="89"/>
      <c r="K232" s="89"/>
    </row>
    <row r="233">
      <c r="C233" s="89"/>
      <c r="I233" s="56"/>
      <c r="J233" s="89"/>
      <c r="K233" s="89"/>
    </row>
    <row r="234">
      <c r="C234" s="89"/>
      <c r="I234" s="56"/>
      <c r="J234" s="89"/>
      <c r="K234" s="89"/>
    </row>
    <row r="235">
      <c r="C235" s="89"/>
      <c r="I235" s="56"/>
      <c r="J235" s="89"/>
      <c r="K235" s="89"/>
    </row>
    <row r="236">
      <c r="C236" s="89"/>
      <c r="I236" s="56"/>
      <c r="J236" s="89"/>
      <c r="K236" s="89"/>
    </row>
    <row r="237">
      <c r="C237" s="89"/>
      <c r="I237" s="56"/>
      <c r="J237" s="89"/>
      <c r="K237" s="89"/>
    </row>
    <row r="238">
      <c r="C238" s="89"/>
      <c r="I238" s="56"/>
      <c r="J238" s="89"/>
      <c r="K238" s="89"/>
    </row>
    <row r="239">
      <c r="C239" s="89"/>
      <c r="I239" s="56"/>
      <c r="J239" s="89"/>
      <c r="K239" s="89"/>
    </row>
    <row r="240">
      <c r="C240" s="89"/>
      <c r="I240" s="56"/>
      <c r="J240" s="89"/>
      <c r="K240" s="89"/>
    </row>
    <row r="241">
      <c r="C241" s="89"/>
      <c r="I241" s="56"/>
      <c r="J241" s="89"/>
      <c r="K241" s="89"/>
    </row>
    <row r="242">
      <c r="C242" s="89"/>
      <c r="I242" s="56"/>
      <c r="J242" s="89"/>
      <c r="K242" s="89"/>
    </row>
    <row r="243">
      <c r="C243" s="89"/>
      <c r="I243" s="56"/>
      <c r="J243" s="89"/>
      <c r="K243" s="89"/>
    </row>
    <row r="244">
      <c r="C244" s="89"/>
      <c r="I244" s="56"/>
      <c r="J244" s="89"/>
      <c r="K244" s="89"/>
    </row>
    <row r="245">
      <c r="C245" s="89"/>
      <c r="I245" s="56"/>
      <c r="J245" s="89"/>
      <c r="K245" s="89"/>
    </row>
    <row r="246">
      <c r="C246" s="89"/>
      <c r="I246" s="56"/>
      <c r="J246" s="89"/>
      <c r="K246" s="89"/>
    </row>
    <row r="247">
      <c r="C247" s="89"/>
      <c r="I247" s="56"/>
      <c r="J247" s="89"/>
      <c r="K247" s="89"/>
    </row>
    <row r="248">
      <c r="C248" s="89"/>
      <c r="I248" s="56"/>
      <c r="J248" s="89"/>
      <c r="K248" s="89"/>
    </row>
    <row r="249">
      <c r="C249" s="89"/>
      <c r="I249" s="56"/>
      <c r="J249" s="89"/>
      <c r="K249" s="89"/>
    </row>
    <row r="250">
      <c r="C250" s="89"/>
      <c r="I250" s="56"/>
      <c r="J250" s="89"/>
      <c r="K250" s="89"/>
    </row>
    <row r="251">
      <c r="C251" s="89"/>
      <c r="I251" s="56"/>
      <c r="J251" s="89"/>
      <c r="K251" s="89"/>
    </row>
    <row r="252">
      <c r="C252" s="89"/>
      <c r="I252" s="56"/>
      <c r="J252" s="89"/>
      <c r="K252" s="89"/>
    </row>
    <row r="253">
      <c r="C253" s="89"/>
      <c r="I253" s="56"/>
      <c r="J253" s="89"/>
      <c r="K253" s="89"/>
    </row>
    <row r="254">
      <c r="C254" s="89"/>
      <c r="I254" s="56"/>
      <c r="J254" s="89"/>
      <c r="K254" s="89"/>
    </row>
    <row r="255">
      <c r="C255" s="89"/>
      <c r="I255" s="56"/>
      <c r="J255" s="89"/>
      <c r="K255" s="89"/>
    </row>
    <row r="256">
      <c r="C256" s="89"/>
      <c r="I256" s="56"/>
      <c r="J256" s="89"/>
      <c r="K256" s="89"/>
    </row>
    <row r="257">
      <c r="C257" s="89"/>
      <c r="I257" s="56"/>
      <c r="J257" s="89"/>
      <c r="K257" s="89"/>
    </row>
    <row r="258">
      <c r="C258" s="89"/>
      <c r="I258" s="56"/>
      <c r="J258" s="89"/>
      <c r="K258" s="89"/>
    </row>
    <row r="259">
      <c r="C259" s="89"/>
      <c r="I259" s="56"/>
      <c r="J259" s="89"/>
      <c r="K259" s="89"/>
    </row>
    <row r="260">
      <c r="C260" s="89"/>
      <c r="I260" s="56"/>
      <c r="J260" s="89"/>
      <c r="K260" s="89"/>
    </row>
    <row r="261">
      <c r="C261" s="89"/>
      <c r="I261" s="56"/>
      <c r="J261" s="89"/>
      <c r="K261" s="89"/>
    </row>
    <row r="262">
      <c r="C262" s="89"/>
      <c r="I262" s="56"/>
      <c r="J262" s="89"/>
      <c r="K262" s="89"/>
    </row>
    <row r="263">
      <c r="C263" s="89"/>
      <c r="I263" s="56"/>
      <c r="J263" s="89"/>
      <c r="K263" s="89"/>
    </row>
    <row r="264">
      <c r="C264" s="89"/>
      <c r="I264" s="56"/>
      <c r="J264" s="89"/>
      <c r="K264" s="89"/>
    </row>
    <row r="265">
      <c r="C265" s="89"/>
      <c r="I265" s="56"/>
      <c r="J265" s="89"/>
      <c r="K265" s="89"/>
    </row>
    <row r="266">
      <c r="C266" s="89"/>
      <c r="I266" s="56"/>
      <c r="J266" s="89"/>
      <c r="K266" s="89"/>
    </row>
    <row r="267">
      <c r="C267" s="89"/>
      <c r="I267" s="56"/>
      <c r="J267" s="89"/>
      <c r="K267" s="89"/>
    </row>
    <row r="268">
      <c r="C268" s="89"/>
      <c r="I268" s="56"/>
      <c r="J268" s="89"/>
      <c r="K268" s="89"/>
    </row>
    <row r="269">
      <c r="C269" s="89"/>
      <c r="I269" s="56"/>
      <c r="J269" s="89"/>
      <c r="K269" s="89"/>
    </row>
    <row r="270">
      <c r="C270" s="89"/>
      <c r="I270" s="56"/>
      <c r="J270" s="89"/>
      <c r="K270" s="89"/>
    </row>
    <row r="271">
      <c r="C271" s="89"/>
      <c r="I271" s="56"/>
      <c r="J271" s="89"/>
      <c r="K271" s="89"/>
    </row>
    <row r="272">
      <c r="C272" s="89"/>
      <c r="I272" s="56"/>
      <c r="J272" s="89"/>
      <c r="K272" s="89"/>
    </row>
    <row r="273">
      <c r="C273" s="89"/>
      <c r="I273" s="56"/>
      <c r="J273" s="89"/>
      <c r="K273" s="89"/>
    </row>
    <row r="274">
      <c r="C274" s="89"/>
      <c r="I274" s="56"/>
      <c r="J274" s="89"/>
      <c r="K274" s="89"/>
    </row>
    <row r="275">
      <c r="C275" s="89"/>
      <c r="I275" s="56"/>
      <c r="J275" s="89"/>
      <c r="K275" s="89"/>
    </row>
    <row r="276">
      <c r="C276" s="89"/>
      <c r="I276" s="56"/>
      <c r="J276" s="89"/>
      <c r="K276" s="89"/>
    </row>
    <row r="277">
      <c r="C277" s="89"/>
      <c r="I277" s="56"/>
      <c r="J277" s="89"/>
      <c r="K277" s="89"/>
    </row>
    <row r="278">
      <c r="C278" s="89"/>
      <c r="I278" s="56"/>
      <c r="J278" s="89"/>
      <c r="K278" s="89"/>
    </row>
    <row r="279">
      <c r="C279" s="89"/>
      <c r="I279" s="56"/>
      <c r="J279" s="89"/>
      <c r="K279" s="89"/>
    </row>
    <row r="280">
      <c r="C280" s="89"/>
      <c r="I280" s="56"/>
      <c r="J280" s="89"/>
      <c r="K280" s="89"/>
    </row>
    <row r="281">
      <c r="C281" s="89"/>
      <c r="I281" s="56"/>
      <c r="J281" s="89"/>
      <c r="K281" s="89"/>
    </row>
    <row r="282">
      <c r="C282" s="89"/>
      <c r="I282" s="56"/>
      <c r="J282" s="89"/>
      <c r="K282" s="89"/>
    </row>
    <row r="283">
      <c r="C283" s="89"/>
      <c r="I283" s="56"/>
      <c r="J283" s="89"/>
      <c r="K283" s="89"/>
    </row>
    <row r="284">
      <c r="C284" s="89"/>
      <c r="I284" s="56"/>
      <c r="J284" s="89"/>
      <c r="K284" s="89"/>
    </row>
    <row r="285">
      <c r="C285" s="89"/>
      <c r="I285" s="56"/>
      <c r="J285" s="89"/>
      <c r="K285" s="89"/>
    </row>
    <row r="286">
      <c r="C286" s="89"/>
      <c r="I286" s="56"/>
      <c r="J286" s="89"/>
      <c r="K286" s="89"/>
    </row>
    <row r="287">
      <c r="C287" s="89"/>
      <c r="I287" s="56"/>
      <c r="J287" s="89"/>
      <c r="K287" s="89"/>
    </row>
    <row r="288">
      <c r="C288" s="89"/>
      <c r="I288" s="56"/>
      <c r="J288" s="89"/>
      <c r="K288" s="89"/>
    </row>
    <row r="289">
      <c r="C289" s="89"/>
      <c r="I289" s="56"/>
      <c r="J289" s="89"/>
      <c r="K289" s="89"/>
    </row>
    <row r="290">
      <c r="C290" s="89"/>
      <c r="I290" s="56"/>
      <c r="J290" s="89"/>
      <c r="K290" s="89"/>
    </row>
    <row r="291">
      <c r="C291" s="89"/>
      <c r="I291" s="56"/>
      <c r="J291" s="89"/>
      <c r="K291" s="89"/>
    </row>
    <row r="292">
      <c r="C292" s="89"/>
      <c r="I292" s="56"/>
      <c r="J292" s="89"/>
      <c r="K292" s="89"/>
    </row>
    <row r="293">
      <c r="C293" s="89"/>
      <c r="I293" s="56"/>
      <c r="J293" s="89"/>
      <c r="K293" s="89"/>
    </row>
    <row r="294">
      <c r="C294" s="89"/>
      <c r="I294" s="56"/>
      <c r="J294" s="89"/>
      <c r="K294" s="89"/>
    </row>
    <row r="295">
      <c r="C295" s="89"/>
      <c r="I295" s="56"/>
      <c r="J295" s="89"/>
      <c r="K295" s="89"/>
    </row>
    <row r="296">
      <c r="C296" s="89"/>
      <c r="I296" s="56"/>
      <c r="J296" s="89"/>
      <c r="K296" s="89"/>
    </row>
    <row r="297">
      <c r="C297" s="89"/>
      <c r="I297" s="56"/>
      <c r="J297" s="89"/>
      <c r="K297" s="89"/>
    </row>
    <row r="298">
      <c r="C298" s="89"/>
      <c r="I298" s="56"/>
      <c r="J298" s="89"/>
      <c r="K298" s="89"/>
    </row>
    <row r="299">
      <c r="C299" s="89"/>
      <c r="I299" s="56"/>
      <c r="J299" s="89"/>
      <c r="K299" s="89"/>
    </row>
    <row r="300">
      <c r="C300" s="89"/>
      <c r="I300" s="56"/>
      <c r="J300" s="89"/>
      <c r="K300" s="89"/>
    </row>
    <row r="301">
      <c r="C301" s="89"/>
      <c r="I301" s="56"/>
      <c r="J301" s="89"/>
      <c r="K301" s="89"/>
    </row>
    <row r="302">
      <c r="C302" s="89"/>
      <c r="I302" s="56"/>
      <c r="J302" s="89"/>
      <c r="K302" s="89"/>
    </row>
    <row r="303">
      <c r="C303" s="89"/>
      <c r="I303" s="56"/>
      <c r="J303" s="89"/>
      <c r="K303" s="89"/>
    </row>
    <row r="304">
      <c r="C304" s="89"/>
      <c r="I304" s="56"/>
      <c r="J304" s="89"/>
      <c r="K304" s="89"/>
    </row>
    <row r="305">
      <c r="C305" s="89"/>
      <c r="I305" s="56"/>
      <c r="J305" s="89"/>
      <c r="K305" s="89"/>
    </row>
    <row r="306">
      <c r="C306" s="89"/>
      <c r="I306" s="56"/>
      <c r="J306" s="89"/>
      <c r="K306" s="89"/>
    </row>
    <row r="307">
      <c r="C307" s="89"/>
      <c r="I307" s="56"/>
      <c r="J307" s="89"/>
      <c r="K307" s="89"/>
    </row>
    <row r="308">
      <c r="C308" s="89"/>
      <c r="I308" s="56"/>
      <c r="J308" s="89"/>
      <c r="K308" s="89"/>
    </row>
    <row r="309">
      <c r="C309" s="89"/>
      <c r="I309" s="56"/>
      <c r="J309" s="89"/>
      <c r="K309" s="89"/>
    </row>
    <row r="310">
      <c r="C310" s="89"/>
      <c r="I310" s="56"/>
      <c r="J310" s="89"/>
      <c r="K310" s="89"/>
    </row>
    <row r="311">
      <c r="C311" s="89"/>
      <c r="I311" s="56"/>
      <c r="J311" s="89"/>
      <c r="K311" s="89"/>
    </row>
    <row r="312">
      <c r="C312" s="89"/>
      <c r="I312" s="56"/>
      <c r="J312" s="89"/>
      <c r="K312" s="89"/>
    </row>
    <row r="313">
      <c r="C313" s="89"/>
      <c r="I313" s="56"/>
      <c r="J313" s="89"/>
      <c r="K313" s="89"/>
    </row>
    <row r="314">
      <c r="C314" s="89"/>
      <c r="I314" s="56"/>
      <c r="J314" s="89"/>
      <c r="K314" s="89"/>
    </row>
    <row r="315">
      <c r="C315" s="89"/>
      <c r="I315" s="56"/>
      <c r="J315" s="89"/>
      <c r="K315" s="89"/>
    </row>
    <row r="316">
      <c r="C316" s="89"/>
      <c r="I316" s="56"/>
      <c r="J316" s="89"/>
      <c r="K316" s="89"/>
    </row>
    <row r="317">
      <c r="C317" s="89"/>
      <c r="I317" s="56"/>
      <c r="J317" s="89"/>
      <c r="K317" s="89"/>
    </row>
    <row r="318">
      <c r="C318" s="89"/>
      <c r="I318" s="56"/>
      <c r="J318" s="89"/>
      <c r="K318" s="89"/>
    </row>
    <row r="319">
      <c r="C319" s="89"/>
      <c r="I319" s="56"/>
      <c r="J319" s="89"/>
      <c r="K319" s="89"/>
    </row>
    <row r="320">
      <c r="C320" s="89"/>
      <c r="I320" s="56"/>
      <c r="J320" s="89"/>
      <c r="K320" s="89"/>
    </row>
    <row r="321">
      <c r="C321" s="89"/>
      <c r="I321" s="56"/>
      <c r="J321" s="89"/>
      <c r="K321" s="89"/>
    </row>
    <row r="322">
      <c r="C322" s="89"/>
      <c r="I322" s="56"/>
      <c r="J322" s="89"/>
      <c r="K322" s="89"/>
    </row>
    <row r="323">
      <c r="C323" s="89"/>
      <c r="I323" s="56"/>
      <c r="J323" s="89"/>
      <c r="K323" s="89"/>
    </row>
    <row r="324">
      <c r="C324" s="89"/>
      <c r="I324" s="56"/>
      <c r="J324" s="89"/>
      <c r="K324" s="89"/>
    </row>
    <row r="325">
      <c r="C325" s="89"/>
      <c r="I325" s="56"/>
      <c r="J325" s="89"/>
      <c r="K325" s="89"/>
    </row>
    <row r="326">
      <c r="C326" s="89"/>
      <c r="I326" s="56"/>
      <c r="J326" s="89"/>
      <c r="K326" s="89"/>
    </row>
    <row r="327">
      <c r="C327" s="89"/>
      <c r="I327" s="56"/>
      <c r="J327" s="89"/>
      <c r="K327" s="89"/>
    </row>
    <row r="328">
      <c r="C328" s="89"/>
      <c r="I328" s="56"/>
      <c r="J328" s="89"/>
      <c r="K328" s="89"/>
    </row>
    <row r="329">
      <c r="C329" s="89"/>
      <c r="I329" s="56"/>
      <c r="J329" s="89"/>
      <c r="K329" s="89"/>
    </row>
    <row r="330">
      <c r="C330" s="89"/>
      <c r="I330" s="56"/>
      <c r="J330" s="89"/>
      <c r="K330" s="89"/>
    </row>
    <row r="331">
      <c r="C331" s="89"/>
      <c r="I331" s="56"/>
      <c r="J331" s="89"/>
      <c r="K331" s="89"/>
    </row>
    <row r="332">
      <c r="C332" s="89"/>
      <c r="I332" s="56"/>
      <c r="J332" s="89"/>
      <c r="K332" s="89"/>
    </row>
    <row r="333">
      <c r="C333" s="89"/>
      <c r="I333" s="56"/>
      <c r="J333" s="89"/>
      <c r="K333" s="89"/>
    </row>
    <row r="334">
      <c r="C334" s="89"/>
      <c r="I334" s="56"/>
      <c r="J334" s="89"/>
      <c r="K334" s="89"/>
    </row>
    <row r="335">
      <c r="C335" s="89"/>
      <c r="I335" s="56"/>
      <c r="J335" s="89"/>
      <c r="K335" s="89"/>
    </row>
    <row r="336">
      <c r="C336" s="89"/>
      <c r="I336" s="56"/>
      <c r="J336" s="89"/>
      <c r="K336" s="89"/>
    </row>
    <row r="337">
      <c r="C337" s="89"/>
      <c r="I337" s="56"/>
      <c r="J337" s="89"/>
      <c r="K337" s="89"/>
    </row>
    <row r="338">
      <c r="C338" s="89"/>
      <c r="I338" s="56"/>
      <c r="J338" s="89"/>
      <c r="K338" s="89"/>
    </row>
    <row r="339">
      <c r="C339" s="89"/>
      <c r="I339" s="56"/>
      <c r="J339" s="89"/>
      <c r="K339" s="89"/>
    </row>
    <row r="340">
      <c r="C340" s="89"/>
      <c r="I340" s="56"/>
      <c r="J340" s="89"/>
      <c r="K340" s="89"/>
    </row>
    <row r="341">
      <c r="C341" s="89"/>
      <c r="I341" s="56"/>
      <c r="J341" s="89"/>
      <c r="K341" s="89"/>
    </row>
    <row r="342">
      <c r="C342" s="89"/>
      <c r="I342" s="56"/>
      <c r="J342" s="89"/>
      <c r="K342" s="89"/>
    </row>
    <row r="343">
      <c r="C343" s="89"/>
      <c r="I343" s="56"/>
      <c r="J343" s="89"/>
      <c r="K343" s="89"/>
    </row>
    <row r="344">
      <c r="C344" s="89"/>
      <c r="I344" s="56"/>
      <c r="J344" s="89"/>
      <c r="K344" s="89"/>
    </row>
    <row r="345">
      <c r="C345" s="89"/>
      <c r="I345" s="56"/>
      <c r="J345" s="89"/>
      <c r="K345" s="89"/>
    </row>
    <row r="346">
      <c r="C346" s="89"/>
      <c r="I346" s="56"/>
      <c r="J346" s="89"/>
      <c r="K346" s="89"/>
    </row>
    <row r="347">
      <c r="C347" s="89"/>
      <c r="I347" s="56"/>
      <c r="J347" s="89"/>
      <c r="K347" s="89"/>
    </row>
    <row r="348">
      <c r="C348" s="89"/>
      <c r="I348" s="56"/>
      <c r="J348" s="89"/>
      <c r="K348" s="89"/>
    </row>
    <row r="349">
      <c r="C349" s="89"/>
      <c r="I349" s="56"/>
      <c r="J349" s="89"/>
      <c r="K349" s="89"/>
    </row>
    <row r="350">
      <c r="C350" s="89"/>
      <c r="I350" s="56"/>
      <c r="J350" s="89"/>
      <c r="K350" s="89"/>
    </row>
    <row r="351">
      <c r="C351" s="89"/>
      <c r="I351" s="56"/>
      <c r="J351" s="89"/>
      <c r="K351" s="89"/>
    </row>
    <row r="352">
      <c r="C352" s="89"/>
      <c r="I352" s="56"/>
      <c r="J352" s="89"/>
      <c r="K352" s="89"/>
    </row>
    <row r="353">
      <c r="C353" s="89"/>
      <c r="I353" s="56"/>
      <c r="J353" s="89"/>
      <c r="K353" s="89"/>
    </row>
    <row r="354">
      <c r="C354" s="89"/>
      <c r="I354" s="56"/>
      <c r="J354" s="89"/>
      <c r="K354" s="89"/>
    </row>
    <row r="355">
      <c r="C355" s="89"/>
      <c r="I355" s="56"/>
      <c r="J355" s="89"/>
      <c r="K355" s="89"/>
    </row>
    <row r="356">
      <c r="C356" s="89"/>
      <c r="I356" s="56"/>
      <c r="J356" s="89"/>
      <c r="K356" s="89"/>
    </row>
    <row r="357">
      <c r="C357" s="89"/>
      <c r="I357" s="56"/>
      <c r="J357" s="89"/>
      <c r="K357" s="89"/>
    </row>
    <row r="358">
      <c r="C358" s="89"/>
      <c r="I358" s="56"/>
      <c r="J358" s="89"/>
      <c r="K358" s="89"/>
    </row>
    <row r="359">
      <c r="C359" s="89"/>
      <c r="I359" s="56"/>
      <c r="J359" s="89"/>
      <c r="K359" s="89"/>
    </row>
    <row r="360">
      <c r="C360" s="89"/>
      <c r="I360" s="56"/>
      <c r="J360" s="89"/>
      <c r="K360" s="89"/>
    </row>
    <row r="361">
      <c r="C361" s="89"/>
      <c r="I361" s="56"/>
      <c r="J361" s="89"/>
      <c r="K361" s="89"/>
    </row>
    <row r="362">
      <c r="C362" s="89"/>
      <c r="I362" s="56"/>
      <c r="J362" s="89"/>
      <c r="K362" s="89"/>
    </row>
    <row r="363">
      <c r="C363" s="89"/>
      <c r="I363" s="56"/>
      <c r="J363" s="89"/>
      <c r="K363" s="89"/>
    </row>
    <row r="364">
      <c r="C364" s="89"/>
      <c r="I364" s="56"/>
      <c r="J364" s="89"/>
      <c r="K364" s="89"/>
    </row>
    <row r="365">
      <c r="C365" s="89"/>
      <c r="I365" s="56"/>
      <c r="J365" s="89"/>
      <c r="K365" s="89"/>
    </row>
    <row r="366">
      <c r="C366" s="89"/>
      <c r="I366" s="56"/>
      <c r="J366" s="89"/>
      <c r="K366" s="89"/>
    </row>
    <row r="367">
      <c r="C367" s="89"/>
      <c r="I367" s="56"/>
      <c r="J367" s="89"/>
      <c r="K367" s="89"/>
    </row>
    <row r="368">
      <c r="C368" s="89"/>
      <c r="I368" s="56"/>
      <c r="J368" s="89"/>
      <c r="K368" s="89"/>
    </row>
    <row r="369">
      <c r="C369" s="89"/>
      <c r="I369" s="56"/>
      <c r="J369" s="89"/>
      <c r="K369" s="89"/>
    </row>
    <row r="370">
      <c r="C370" s="89"/>
      <c r="I370" s="56"/>
      <c r="J370" s="89"/>
      <c r="K370" s="89"/>
    </row>
    <row r="371">
      <c r="C371" s="89"/>
      <c r="I371" s="56"/>
      <c r="J371" s="89"/>
      <c r="K371" s="89"/>
    </row>
    <row r="372">
      <c r="C372" s="89"/>
      <c r="I372" s="56"/>
      <c r="J372" s="89"/>
      <c r="K372" s="89"/>
    </row>
    <row r="373">
      <c r="C373" s="89"/>
      <c r="I373" s="56"/>
      <c r="J373" s="89"/>
      <c r="K373" s="89"/>
    </row>
    <row r="374">
      <c r="C374" s="89"/>
      <c r="I374" s="56"/>
      <c r="J374" s="89"/>
      <c r="K374" s="89"/>
    </row>
    <row r="375">
      <c r="C375" s="89"/>
      <c r="I375" s="56"/>
      <c r="J375" s="89"/>
      <c r="K375" s="89"/>
    </row>
    <row r="376">
      <c r="C376" s="89"/>
      <c r="I376" s="56"/>
      <c r="J376" s="89"/>
      <c r="K376" s="89"/>
    </row>
    <row r="377">
      <c r="C377" s="89"/>
      <c r="I377" s="56"/>
      <c r="J377" s="89"/>
      <c r="K377" s="89"/>
    </row>
    <row r="378">
      <c r="C378" s="89"/>
      <c r="I378" s="56"/>
      <c r="J378" s="89"/>
      <c r="K378" s="89"/>
    </row>
    <row r="379">
      <c r="C379" s="89"/>
      <c r="I379" s="56"/>
      <c r="J379" s="89"/>
      <c r="K379" s="89"/>
    </row>
    <row r="380">
      <c r="C380" s="89"/>
      <c r="I380" s="56"/>
      <c r="J380" s="89"/>
      <c r="K380" s="89"/>
    </row>
    <row r="381">
      <c r="C381" s="89"/>
      <c r="I381" s="56"/>
      <c r="J381" s="89"/>
      <c r="K381" s="89"/>
    </row>
    <row r="382">
      <c r="C382" s="89"/>
      <c r="I382" s="56"/>
      <c r="J382" s="89"/>
      <c r="K382" s="89"/>
    </row>
    <row r="383">
      <c r="C383" s="89"/>
      <c r="I383" s="56"/>
      <c r="J383" s="89"/>
      <c r="K383" s="89"/>
    </row>
    <row r="384">
      <c r="C384" s="89"/>
      <c r="I384" s="56"/>
      <c r="J384" s="89"/>
      <c r="K384" s="89"/>
    </row>
    <row r="385">
      <c r="C385" s="89"/>
      <c r="I385" s="56"/>
      <c r="J385" s="89"/>
      <c r="K385" s="89"/>
    </row>
    <row r="386">
      <c r="C386" s="89"/>
      <c r="I386" s="56"/>
      <c r="J386" s="89"/>
      <c r="K386" s="89"/>
    </row>
    <row r="387">
      <c r="C387" s="89"/>
      <c r="I387" s="56"/>
      <c r="J387" s="89"/>
      <c r="K387" s="89"/>
    </row>
    <row r="388">
      <c r="C388" s="89"/>
      <c r="I388" s="56"/>
      <c r="J388" s="89"/>
      <c r="K388" s="89"/>
    </row>
    <row r="389">
      <c r="C389" s="89"/>
      <c r="I389" s="56"/>
      <c r="J389" s="89"/>
      <c r="K389" s="89"/>
    </row>
    <row r="390">
      <c r="C390" s="89"/>
      <c r="I390" s="56"/>
      <c r="J390" s="89"/>
      <c r="K390" s="89"/>
    </row>
    <row r="391">
      <c r="C391" s="89"/>
      <c r="I391" s="56"/>
      <c r="J391" s="89"/>
      <c r="K391" s="89"/>
    </row>
    <row r="392">
      <c r="C392" s="89"/>
      <c r="I392" s="56"/>
      <c r="J392" s="89"/>
      <c r="K392" s="89"/>
    </row>
    <row r="393">
      <c r="C393" s="89"/>
      <c r="I393" s="56"/>
      <c r="J393" s="89"/>
      <c r="K393" s="89"/>
    </row>
    <row r="394">
      <c r="C394" s="89"/>
      <c r="I394" s="56"/>
      <c r="J394" s="89"/>
      <c r="K394" s="89"/>
    </row>
    <row r="395">
      <c r="C395" s="89"/>
      <c r="I395" s="56"/>
      <c r="J395" s="89"/>
      <c r="K395" s="89"/>
    </row>
    <row r="396">
      <c r="C396" s="89"/>
      <c r="I396" s="56"/>
      <c r="J396" s="89"/>
      <c r="K396" s="89"/>
    </row>
    <row r="397">
      <c r="C397" s="89"/>
      <c r="I397" s="56"/>
      <c r="J397" s="89"/>
      <c r="K397" s="89"/>
    </row>
    <row r="398">
      <c r="C398" s="89"/>
      <c r="I398" s="56"/>
      <c r="J398" s="89"/>
      <c r="K398" s="89"/>
    </row>
    <row r="399">
      <c r="C399" s="89"/>
      <c r="I399" s="56"/>
      <c r="J399" s="89"/>
      <c r="K399" s="89"/>
    </row>
    <row r="400">
      <c r="C400" s="89"/>
      <c r="I400" s="56"/>
      <c r="J400" s="89"/>
      <c r="K400" s="89"/>
    </row>
    <row r="401">
      <c r="C401" s="89"/>
      <c r="I401" s="56"/>
      <c r="J401" s="89"/>
      <c r="K401" s="89"/>
    </row>
    <row r="402">
      <c r="C402" s="89"/>
      <c r="I402" s="56"/>
      <c r="J402" s="89"/>
      <c r="K402" s="89"/>
    </row>
    <row r="403">
      <c r="C403" s="89"/>
      <c r="I403" s="56"/>
      <c r="J403" s="89"/>
      <c r="K403" s="89"/>
    </row>
    <row r="404">
      <c r="C404" s="89"/>
      <c r="I404" s="56"/>
      <c r="J404" s="89"/>
      <c r="K404" s="89"/>
    </row>
    <row r="405">
      <c r="C405" s="89"/>
      <c r="I405" s="56"/>
      <c r="J405" s="89"/>
      <c r="K405" s="89"/>
    </row>
    <row r="406">
      <c r="C406" s="89"/>
      <c r="I406" s="56"/>
      <c r="J406" s="89"/>
      <c r="K406" s="89"/>
    </row>
    <row r="407">
      <c r="C407" s="89"/>
      <c r="I407" s="56"/>
      <c r="J407" s="89"/>
      <c r="K407" s="89"/>
    </row>
    <row r="408">
      <c r="C408" s="89"/>
      <c r="I408" s="56"/>
      <c r="J408" s="89"/>
      <c r="K408" s="89"/>
    </row>
    <row r="409">
      <c r="C409" s="89"/>
      <c r="I409" s="56"/>
      <c r="J409" s="89"/>
      <c r="K409" s="89"/>
    </row>
    <row r="410">
      <c r="C410" s="89"/>
      <c r="I410" s="56"/>
      <c r="J410" s="89"/>
      <c r="K410" s="89"/>
    </row>
    <row r="411">
      <c r="C411" s="89"/>
      <c r="I411" s="56"/>
      <c r="J411" s="89"/>
      <c r="K411" s="89"/>
    </row>
    <row r="412">
      <c r="C412" s="89"/>
      <c r="I412" s="56"/>
      <c r="J412" s="89"/>
      <c r="K412" s="89"/>
    </row>
    <row r="413">
      <c r="C413" s="89"/>
      <c r="I413" s="56"/>
      <c r="J413" s="89"/>
      <c r="K413" s="89"/>
    </row>
    <row r="414">
      <c r="C414" s="89"/>
      <c r="I414" s="56"/>
      <c r="J414" s="89"/>
      <c r="K414" s="89"/>
    </row>
    <row r="415">
      <c r="C415" s="89"/>
      <c r="I415" s="56"/>
      <c r="J415" s="89"/>
      <c r="K415" s="89"/>
    </row>
    <row r="416">
      <c r="C416" s="89"/>
      <c r="I416" s="56"/>
      <c r="J416" s="89"/>
      <c r="K416" s="89"/>
    </row>
    <row r="417">
      <c r="C417" s="89"/>
      <c r="I417" s="56"/>
      <c r="J417" s="89"/>
      <c r="K417" s="89"/>
    </row>
    <row r="418">
      <c r="C418" s="89"/>
      <c r="I418" s="56"/>
      <c r="J418" s="89"/>
      <c r="K418" s="89"/>
    </row>
    <row r="419">
      <c r="C419" s="89"/>
      <c r="I419" s="56"/>
      <c r="J419" s="89"/>
      <c r="K419" s="89"/>
    </row>
    <row r="420">
      <c r="C420" s="89"/>
      <c r="I420" s="56"/>
      <c r="J420" s="89"/>
      <c r="K420" s="89"/>
    </row>
    <row r="421">
      <c r="C421" s="89"/>
      <c r="I421" s="56"/>
      <c r="J421" s="89"/>
      <c r="K421" s="89"/>
    </row>
    <row r="422">
      <c r="C422" s="89"/>
      <c r="I422" s="56"/>
      <c r="J422" s="89"/>
      <c r="K422" s="89"/>
    </row>
    <row r="423">
      <c r="C423" s="89"/>
      <c r="I423" s="56"/>
      <c r="J423" s="89"/>
      <c r="K423" s="89"/>
    </row>
    <row r="424">
      <c r="C424" s="89"/>
      <c r="I424" s="56"/>
      <c r="J424" s="89"/>
      <c r="K424" s="89"/>
    </row>
    <row r="425">
      <c r="C425" s="89"/>
      <c r="I425" s="56"/>
      <c r="J425" s="89"/>
      <c r="K425" s="89"/>
    </row>
    <row r="426">
      <c r="C426" s="89"/>
      <c r="I426" s="56"/>
      <c r="J426" s="89"/>
      <c r="K426" s="89"/>
    </row>
    <row r="427">
      <c r="C427" s="89"/>
      <c r="I427" s="56"/>
      <c r="J427" s="89"/>
      <c r="K427" s="89"/>
    </row>
    <row r="428">
      <c r="C428" s="89"/>
      <c r="I428" s="56"/>
      <c r="J428" s="89"/>
      <c r="K428" s="89"/>
    </row>
    <row r="429">
      <c r="C429" s="89"/>
      <c r="I429" s="56"/>
      <c r="J429" s="89"/>
      <c r="K429" s="89"/>
    </row>
    <row r="430">
      <c r="C430" s="89"/>
      <c r="I430" s="56"/>
      <c r="J430" s="89"/>
      <c r="K430" s="89"/>
    </row>
    <row r="431">
      <c r="C431" s="89"/>
      <c r="I431" s="56"/>
      <c r="J431" s="89"/>
      <c r="K431" s="89"/>
    </row>
    <row r="432">
      <c r="C432" s="89"/>
      <c r="I432" s="56"/>
      <c r="J432" s="89"/>
      <c r="K432" s="89"/>
    </row>
    <row r="433">
      <c r="C433" s="89"/>
      <c r="I433" s="56"/>
      <c r="J433" s="89"/>
      <c r="K433" s="89"/>
    </row>
    <row r="434">
      <c r="C434" s="89"/>
      <c r="I434" s="56"/>
      <c r="J434" s="89"/>
      <c r="K434" s="89"/>
    </row>
    <row r="435">
      <c r="C435" s="89"/>
      <c r="I435" s="56"/>
      <c r="J435" s="89"/>
      <c r="K435" s="89"/>
    </row>
    <row r="436">
      <c r="C436" s="89"/>
      <c r="I436" s="56"/>
      <c r="J436" s="89"/>
      <c r="K436" s="89"/>
    </row>
    <row r="437">
      <c r="C437" s="89"/>
      <c r="I437" s="56"/>
      <c r="J437" s="89"/>
      <c r="K437" s="89"/>
    </row>
    <row r="438">
      <c r="C438" s="89"/>
      <c r="I438" s="56"/>
      <c r="J438" s="89"/>
      <c r="K438" s="89"/>
    </row>
    <row r="439">
      <c r="C439" s="89"/>
      <c r="I439" s="56"/>
      <c r="J439" s="89"/>
      <c r="K439" s="89"/>
    </row>
    <row r="440">
      <c r="C440" s="89"/>
      <c r="I440" s="56"/>
      <c r="J440" s="89"/>
      <c r="K440" s="89"/>
    </row>
    <row r="441">
      <c r="C441" s="89"/>
      <c r="I441" s="56"/>
      <c r="J441" s="89"/>
      <c r="K441" s="89"/>
    </row>
    <row r="442">
      <c r="C442" s="89"/>
      <c r="I442" s="56"/>
      <c r="J442" s="89"/>
      <c r="K442" s="89"/>
    </row>
    <row r="443">
      <c r="C443" s="89"/>
      <c r="I443" s="56"/>
      <c r="J443" s="89"/>
      <c r="K443" s="89"/>
    </row>
    <row r="444">
      <c r="C444" s="89"/>
      <c r="I444" s="56"/>
      <c r="J444" s="89"/>
      <c r="K444" s="89"/>
    </row>
    <row r="445">
      <c r="C445" s="89"/>
      <c r="I445" s="56"/>
      <c r="J445" s="89"/>
      <c r="K445" s="89"/>
    </row>
    <row r="446">
      <c r="C446" s="89"/>
      <c r="I446" s="56"/>
      <c r="J446" s="89"/>
      <c r="K446" s="89"/>
    </row>
    <row r="447">
      <c r="C447" s="89"/>
      <c r="I447" s="56"/>
      <c r="J447" s="89"/>
      <c r="K447" s="89"/>
    </row>
    <row r="448">
      <c r="C448" s="89"/>
      <c r="I448" s="56"/>
      <c r="J448" s="89"/>
      <c r="K448" s="89"/>
    </row>
    <row r="449">
      <c r="C449" s="89"/>
      <c r="I449" s="56"/>
      <c r="J449" s="89"/>
      <c r="K449" s="89"/>
    </row>
    <row r="450">
      <c r="C450" s="89"/>
      <c r="I450" s="56"/>
      <c r="J450" s="89"/>
      <c r="K450" s="89"/>
    </row>
    <row r="451">
      <c r="C451" s="89"/>
      <c r="I451" s="56"/>
      <c r="J451" s="89"/>
      <c r="K451" s="89"/>
    </row>
    <row r="452">
      <c r="C452" s="89"/>
      <c r="I452" s="56"/>
      <c r="J452" s="89"/>
      <c r="K452" s="89"/>
    </row>
    <row r="453">
      <c r="C453" s="89"/>
      <c r="I453" s="56"/>
      <c r="J453" s="89"/>
      <c r="K453" s="89"/>
    </row>
    <row r="454">
      <c r="C454" s="89"/>
      <c r="I454" s="56"/>
      <c r="J454" s="89"/>
      <c r="K454" s="89"/>
    </row>
    <row r="455">
      <c r="C455" s="89"/>
      <c r="I455" s="56"/>
      <c r="J455" s="89"/>
      <c r="K455" s="89"/>
    </row>
    <row r="456">
      <c r="C456" s="89"/>
      <c r="I456" s="56"/>
      <c r="J456" s="89"/>
      <c r="K456" s="89"/>
    </row>
    <row r="457">
      <c r="C457" s="89"/>
      <c r="I457" s="56"/>
      <c r="J457" s="89"/>
      <c r="K457" s="89"/>
    </row>
    <row r="458">
      <c r="C458" s="89"/>
      <c r="I458" s="56"/>
      <c r="J458" s="89"/>
      <c r="K458" s="89"/>
    </row>
    <row r="459">
      <c r="C459" s="89"/>
      <c r="I459" s="56"/>
      <c r="J459" s="89"/>
      <c r="K459" s="89"/>
    </row>
    <row r="460">
      <c r="C460" s="89"/>
      <c r="I460" s="56"/>
      <c r="J460" s="89"/>
      <c r="K460" s="89"/>
    </row>
    <row r="461">
      <c r="C461" s="89"/>
      <c r="I461" s="56"/>
      <c r="J461" s="89"/>
      <c r="K461" s="89"/>
    </row>
    <row r="462">
      <c r="C462" s="89"/>
      <c r="I462" s="56"/>
      <c r="J462" s="89"/>
      <c r="K462" s="89"/>
    </row>
    <row r="463">
      <c r="C463" s="89"/>
      <c r="I463" s="56"/>
      <c r="J463" s="89"/>
      <c r="K463" s="89"/>
    </row>
    <row r="464">
      <c r="C464" s="89"/>
      <c r="I464" s="56"/>
      <c r="J464" s="89"/>
      <c r="K464" s="89"/>
    </row>
    <row r="465">
      <c r="C465" s="89"/>
      <c r="I465" s="56"/>
      <c r="J465" s="89"/>
      <c r="K465" s="89"/>
    </row>
    <row r="466">
      <c r="C466" s="89"/>
      <c r="I466" s="56"/>
      <c r="J466" s="89"/>
      <c r="K466" s="89"/>
    </row>
    <row r="467">
      <c r="C467" s="89"/>
      <c r="I467" s="56"/>
      <c r="J467" s="89"/>
      <c r="K467" s="89"/>
    </row>
    <row r="468">
      <c r="C468" s="89"/>
      <c r="I468" s="56"/>
      <c r="J468" s="89"/>
      <c r="K468" s="89"/>
    </row>
    <row r="469">
      <c r="C469" s="89"/>
      <c r="I469" s="56"/>
      <c r="J469" s="89"/>
      <c r="K469" s="89"/>
    </row>
    <row r="470">
      <c r="C470" s="89"/>
      <c r="I470" s="56"/>
      <c r="J470" s="89"/>
      <c r="K470" s="89"/>
    </row>
    <row r="471">
      <c r="C471" s="89"/>
      <c r="I471" s="56"/>
      <c r="J471" s="89"/>
      <c r="K471" s="89"/>
    </row>
    <row r="472">
      <c r="C472" s="89"/>
      <c r="I472" s="56"/>
      <c r="J472" s="89"/>
      <c r="K472" s="89"/>
    </row>
    <row r="473">
      <c r="C473" s="89"/>
      <c r="I473" s="56"/>
      <c r="J473" s="89"/>
      <c r="K473" s="89"/>
    </row>
    <row r="474">
      <c r="C474" s="89"/>
      <c r="I474" s="56"/>
      <c r="J474" s="89"/>
      <c r="K474" s="89"/>
    </row>
    <row r="475">
      <c r="C475" s="89"/>
      <c r="I475" s="56"/>
      <c r="J475" s="89"/>
      <c r="K475" s="89"/>
    </row>
    <row r="476">
      <c r="C476" s="89"/>
      <c r="I476" s="56"/>
      <c r="J476" s="89"/>
      <c r="K476" s="89"/>
    </row>
    <row r="477">
      <c r="C477" s="89"/>
      <c r="I477" s="56"/>
      <c r="J477" s="89"/>
      <c r="K477" s="89"/>
    </row>
    <row r="478">
      <c r="C478" s="89"/>
      <c r="I478" s="56"/>
      <c r="J478" s="89"/>
      <c r="K478" s="89"/>
    </row>
    <row r="479">
      <c r="C479" s="89"/>
      <c r="I479" s="56"/>
      <c r="J479" s="89"/>
      <c r="K479" s="89"/>
    </row>
    <row r="480">
      <c r="C480" s="89"/>
      <c r="I480" s="56"/>
      <c r="J480" s="89"/>
      <c r="K480" s="89"/>
    </row>
    <row r="481">
      <c r="C481" s="89"/>
      <c r="I481" s="56"/>
      <c r="J481" s="89"/>
      <c r="K481" s="89"/>
    </row>
    <row r="482">
      <c r="C482" s="89"/>
      <c r="I482" s="56"/>
      <c r="J482" s="89"/>
      <c r="K482" s="89"/>
    </row>
    <row r="483">
      <c r="C483" s="89"/>
      <c r="I483" s="56"/>
      <c r="J483" s="89"/>
      <c r="K483" s="89"/>
    </row>
    <row r="484">
      <c r="C484" s="89"/>
      <c r="I484" s="56"/>
      <c r="J484" s="89"/>
      <c r="K484" s="89"/>
    </row>
    <row r="485">
      <c r="C485" s="89"/>
      <c r="I485" s="56"/>
      <c r="J485" s="89"/>
      <c r="K485" s="89"/>
    </row>
    <row r="486">
      <c r="C486" s="89"/>
      <c r="I486" s="56"/>
      <c r="J486" s="89"/>
      <c r="K486" s="89"/>
    </row>
    <row r="487">
      <c r="C487" s="89"/>
      <c r="I487" s="56"/>
      <c r="J487" s="89"/>
      <c r="K487" s="89"/>
    </row>
    <row r="488">
      <c r="C488" s="89"/>
      <c r="I488" s="56"/>
      <c r="J488" s="89"/>
      <c r="K488" s="89"/>
    </row>
    <row r="489">
      <c r="C489" s="89"/>
      <c r="I489" s="56"/>
      <c r="J489" s="89"/>
      <c r="K489" s="89"/>
    </row>
    <row r="490">
      <c r="C490" s="89"/>
      <c r="I490" s="56"/>
      <c r="J490" s="89"/>
      <c r="K490" s="89"/>
    </row>
    <row r="491">
      <c r="C491" s="89"/>
      <c r="I491" s="56"/>
      <c r="J491" s="89"/>
      <c r="K491" s="89"/>
    </row>
    <row r="492">
      <c r="C492" s="89"/>
      <c r="I492" s="56"/>
      <c r="J492" s="89"/>
      <c r="K492" s="89"/>
    </row>
    <row r="493">
      <c r="C493" s="89"/>
      <c r="I493" s="56"/>
      <c r="J493" s="89"/>
      <c r="K493" s="89"/>
    </row>
    <row r="494">
      <c r="C494" s="89"/>
      <c r="I494" s="56"/>
      <c r="J494" s="89"/>
      <c r="K494" s="89"/>
    </row>
    <row r="495">
      <c r="C495" s="89"/>
      <c r="I495" s="56"/>
      <c r="J495" s="89"/>
      <c r="K495" s="89"/>
    </row>
    <row r="496">
      <c r="C496" s="89"/>
      <c r="I496" s="56"/>
      <c r="J496" s="89"/>
      <c r="K496" s="89"/>
    </row>
    <row r="497">
      <c r="C497" s="89"/>
      <c r="I497" s="56"/>
      <c r="J497" s="89"/>
      <c r="K497" s="89"/>
    </row>
    <row r="498">
      <c r="C498" s="89"/>
      <c r="I498" s="56"/>
      <c r="J498" s="89"/>
      <c r="K498" s="89"/>
    </row>
    <row r="499">
      <c r="C499" s="89"/>
      <c r="I499" s="56"/>
      <c r="J499" s="89"/>
      <c r="K499" s="89"/>
    </row>
    <row r="500">
      <c r="C500" s="89"/>
      <c r="I500" s="56"/>
      <c r="J500" s="89"/>
      <c r="K500" s="89"/>
    </row>
    <row r="501">
      <c r="C501" s="89"/>
      <c r="I501" s="56"/>
      <c r="J501" s="89"/>
      <c r="K501" s="89"/>
    </row>
    <row r="502">
      <c r="C502" s="89"/>
      <c r="I502" s="56"/>
      <c r="J502" s="89"/>
      <c r="K502" s="89"/>
    </row>
    <row r="503">
      <c r="C503" s="89"/>
      <c r="I503" s="56"/>
      <c r="J503" s="89"/>
      <c r="K503" s="89"/>
    </row>
    <row r="504">
      <c r="C504" s="89"/>
      <c r="I504" s="56"/>
      <c r="J504" s="89"/>
      <c r="K504" s="89"/>
    </row>
    <row r="505">
      <c r="C505" s="89"/>
      <c r="I505" s="56"/>
      <c r="J505" s="89"/>
      <c r="K505" s="89"/>
    </row>
    <row r="506">
      <c r="C506" s="89"/>
      <c r="I506" s="56"/>
      <c r="J506" s="89"/>
      <c r="K506" s="89"/>
    </row>
    <row r="507">
      <c r="C507" s="89"/>
      <c r="I507" s="56"/>
      <c r="J507" s="89"/>
      <c r="K507" s="89"/>
    </row>
    <row r="508">
      <c r="C508" s="89"/>
      <c r="I508" s="56"/>
      <c r="J508" s="89"/>
      <c r="K508" s="89"/>
    </row>
    <row r="509">
      <c r="C509" s="89"/>
      <c r="I509" s="56"/>
      <c r="J509" s="89"/>
      <c r="K509" s="89"/>
    </row>
    <row r="510">
      <c r="C510" s="89"/>
      <c r="I510" s="56"/>
      <c r="J510" s="89"/>
      <c r="K510" s="89"/>
    </row>
    <row r="511">
      <c r="C511" s="89"/>
      <c r="I511" s="56"/>
      <c r="J511" s="89"/>
      <c r="K511" s="89"/>
    </row>
    <row r="512">
      <c r="C512" s="89"/>
      <c r="I512" s="56"/>
      <c r="J512" s="89"/>
      <c r="K512" s="89"/>
    </row>
    <row r="513">
      <c r="C513" s="89"/>
      <c r="I513" s="56"/>
      <c r="J513" s="89"/>
      <c r="K513" s="89"/>
    </row>
    <row r="514">
      <c r="C514" s="89"/>
      <c r="I514" s="56"/>
      <c r="J514" s="89"/>
      <c r="K514" s="89"/>
    </row>
    <row r="515">
      <c r="C515" s="89"/>
      <c r="I515" s="56"/>
      <c r="J515" s="89"/>
      <c r="K515" s="89"/>
    </row>
    <row r="516">
      <c r="C516" s="89"/>
      <c r="I516" s="56"/>
      <c r="J516" s="89"/>
      <c r="K516" s="89"/>
    </row>
    <row r="517">
      <c r="C517" s="89"/>
      <c r="I517" s="56"/>
      <c r="J517" s="89"/>
      <c r="K517" s="89"/>
    </row>
    <row r="518">
      <c r="C518" s="89"/>
      <c r="I518" s="56"/>
      <c r="J518" s="89"/>
      <c r="K518" s="89"/>
    </row>
    <row r="519">
      <c r="C519" s="89"/>
      <c r="I519" s="56"/>
      <c r="J519" s="89"/>
      <c r="K519" s="89"/>
    </row>
    <row r="520">
      <c r="C520" s="89"/>
      <c r="I520" s="56"/>
      <c r="J520" s="89"/>
      <c r="K520" s="89"/>
    </row>
    <row r="521">
      <c r="C521" s="89"/>
      <c r="I521" s="56"/>
      <c r="J521" s="89"/>
      <c r="K521" s="89"/>
    </row>
    <row r="522">
      <c r="C522" s="89"/>
      <c r="I522" s="56"/>
      <c r="J522" s="89"/>
      <c r="K522" s="89"/>
    </row>
    <row r="523">
      <c r="C523" s="89"/>
      <c r="I523" s="56"/>
      <c r="J523" s="89"/>
      <c r="K523" s="89"/>
    </row>
    <row r="524">
      <c r="C524" s="89"/>
      <c r="I524" s="56"/>
      <c r="J524" s="89"/>
      <c r="K524" s="89"/>
    </row>
    <row r="525">
      <c r="C525" s="89"/>
      <c r="I525" s="56"/>
      <c r="J525" s="89"/>
      <c r="K525" s="89"/>
    </row>
    <row r="526">
      <c r="C526" s="89"/>
      <c r="I526" s="56"/>
      <c r="J526" s="89"/>
      <c r="K526" s="89"/>
    </row>
    <row r="527">
      <c r="C527" s="89"/>
      <c r="I527" s="56"/>
      <c r="J527" s="89"/>
      <c r="K527" s="89"/>
    </row>
    <row r="528">
      <c r="C528" s="89"/>
      <c r="I528" s="56"/>
      <c r="J528" s="89"/>
      <c r="K528" s="89"/>
    </row>
    <row r="529">
      <c r="C529" s="89"/>
      <c r="I529" s="56"/>
      <c r="J529" s="89"/>
      <c r="K529" s="89"/>
    </row>
    <row r="530">
      <c r="C530" s="89"/>
      <c r="I530" s="56"/>
      <c r="J530" s="89"/>
      <c r="K530" s="89"/>
    </row>
    <row r="531">
      <c r="C531" s="89"/>
      <c r="I531" s="56"/>
      <c r="J531" s="89"/>
      <c r="K531" s="89"/>
    </row>
    <row r="532">
      <c r="C532" s="89"/>
      <c r="I532" s="56"/>
      <c r="J532" s="89"/>
      <c r="K532" s="89"/>
    </row>
    <row r="533">
      <c r="C533" s="89"/>
      <c r="I533" s="56"/>
      <c r="J533" s="89"/>
      <c r="K533" s="89"/>
    </row>
    <row r="534">
      <c r="C534" s="89"/>
      <c r="I534" s="56"/>
      <c r="J534" s="89"/>
      <c r="K534" s="89"/>
    </row>
    <row r="535">
      <c r="C535" s="89"/>
      <c r="I535" s="56"/>
      <c r="J535" s="89"/>
      <c r="K535" s="89"/>
    </row>
    <row r="536">
      <c r="C536" s="89"/>
      <c r="I536" s="56"/>
      <c r="J536" s="89"/>
      <c r="K536" s="89"/>
    </row>
    <row r="537">
      <c r="C537" s="89"/>
      <c r="I537" s="56"/>
      <c r="J537" s="89"/>
      <c r="K537" s="89"/>
    </row>
    <row r="538">
      <c r="C538" s="89"/>
      <c r="I538" s="56"/>
      <c r="J538" s="89"/>
      <c r="K538" s="89"/>
    </row>
    <row r="539">
      <c r="C539" s="89"/>
      <c r="I539" s="56"/>
      <c r="J539" s="89"/>
      <c r="K539" s="89"/>
    </row>
    <row r="540">
      <c r="C540" s="89"/>
      <c r="I540" s="56"/>
      <c r="J540" s="89"/>
      <c r="K540" s="89"/>
    </row>
    <row r="541">
      <c r="C541" s="89"/>
      <c r="I541" s="56"/>
      <c r="J541" s="89"/>
      <c r="K541" s="89"/>
    </row>
    <row r="542">
      <c r="C542" s="89"/>
      <c r="I542" s="56"/>
      <c r="J542" s="89"/>
      <c r="K542" s="89"/>
    </row>
    <row r="543">
      <c r="C543" s="89"/>
      <c r="I543" s="56"/>
      <c r="J543" s="89"/>
      <c r="K543" s="89"/>
    </row>
    <row r="544">
      <c r="C544" s="89"/>
      <c r="I544" s="56"/>
      <c r="J544" s="89"/>
      <c r="K544" s="89"/>
    </row>
    <row r="545">
      <c r="C545" s="89"/>
      <c r="I545" s="56"/>
      <c r="J545" s="89"/>
      <c r="K545" s="89"/>
    </row>
    <row r="546">
      <c r="C546" s="89"/>
      <c r="I546" s="56"/>
      <c r="J546" s="89"/>
      <c r="K546" s="89"/>
    </row>
    <row r="547">
      <c r="C547" s="89"/>
      <c r="I547" s="56"/>
      <c r="J547" s="89"/>
      <c r="K547" s="89"/>
    </row>
    <row r="548">
      <c r="C548" s="89"/>
      <c r="I548" s="56"/>
      <c r="J548" s="89"/>
      <c r="K548" s="89"/>
    </row>
    <row r="549">
      <c r="C549" s="89"/>
      <c r="I549" s="56"/>
      <c r="J549" s="89"/>
      <c r="K549" s="89"/>
    </row>
    <row r="550">
      <c r="C550" s="89"/>
      <c r="I550" s="56"/>
      <c r="J550" s="89"/>
      <c r="K550" s="89"/>
    </row>
    <row r="551">
      <c r="C551" s="89"/>
      <c r="I551" s="56"/>
      <c r="J551" s="89"/>
      <c r="K551" s="89"/>
    </row>
    <row r="552">
      <c r="C552" s="89"/>
      <c r="I552" s="56"/>
      <c r="J552" s="89"/>
      <c r="K552" s="89"/>
    </row>
    <row r="553">
      <c r="C553" s="89"/>
      <c r="I553" s="56"/>
      <c r="J553" s="89"/>
      <c r="K553" s="89"/>
    </row>
    <row r="554">
      <c r="C554" s="89"/>
      <c r="I554" s="56"/>
      <c r="J554" s="89"/>
      <c r="K554" s="89"/>
    </row>
    <row r="555">
      <c r="C555" s="89"/>
      <c r="I555" s="56"/>
      <c r="J555" s="89"/>
      <c r="K555" s="89"/>
    </row>
    <row r="556">
      <c r="C556" s="89"/>
      <c r="I556" s="56"/>
      <c r="J556" s="89"/>
      <c r="K556" s="89"/>
    </row>
    <row r="557">
      <c r="C557" s="89"/>
      <c r="I557" s="56"/>
      <c r="J557" s="89"/>
      <c r="K557" s="89"/>
    </row>
    <row r="558">
      <c r="C558" s="89"/>
      <c r="I558" s="56"/>
      <c r="J558" s="89"/>
      <c r="K558" s="89"/>
    </row>
    <row r="559">
      <c r="C559" s="89"/>
      <c r="I559" s="56"/>
      <c r="J559" s="89"/>
      <c r="K559" s="89"/>
    </row>
    <row r="560">
      <c r="C560" s="89"/>
      <c r="I560" s="56"/>
      <c r="J560" s="89"/>
      <c r="K560" s="89"/>
    </row>
    <row r="561">
      <c r="C561" s="89"/>
      <c r="I561" s="56"/>
      <c r="J561" s="89"/>
      <c r="K561" s="89"/>
    </row>
    <row r="562">
      <c r="C562" s="89"/>
      <c r="I562" s="56"/>
      <c r="J562" s="89"/>
      <c r="K562" s="89"/>
    </row>
    <row r="563">
      <c r="C563" s="89"/>
      <c r="I563" s="56"/>
      <c r="J563" s="89"/>
      <c r="K563" s="89"/>
    </row>
    <row r="564">
      <c r="C564" s="89"/>
      <c r="I564" s="56"/>
      <c r="J564" s="89"/>
      <c r="K564" s="89"/>
    </row>
    <row r="565">
      <c r="C565" s="89"/>
      <c r="I565" s="56"/>
      <c r="J565" s="89"/>
      <c r="K565" s="89"/>
    </row>
    <row r="566">
      <c r="C566" s="89"/>
      <c r="I566" s="56"/>
      <c r="J566" s="89"/>
      <c r="K566" s="89"/>
    </row>
    <row r="567">
      <c r="C567" s="89"/>
      <c r="I567" s="56"/>
      <c r="J567" s="89"/>
      <c r="K567" s="89"/>
    </row>
    <row r="568">
      <c r="C568" s="89"/>
      <c r="I568" s="56"/>
      <c r="J568" s="89"/>
      <c r="K568" s="89"/>
    </row>
    <row r="569">
      <c r="C569" s="89"/>
      <c r="I569" s="56"/>
      <c r="J569" s="89"/>
      <c r="K569" s="89"/>
    </row>
    <row r="570">
      <c r="C570" s="89"/>
      <c r="I570" s="56"/>
      <c r="J570" s="89"/>
      <c r="K570" s="89"/>
    </row>
    <row r="571">
      <c r="C571" s="89"/>
      <c r="I571" s="56"/>
      <c r="J571" s="89"/>
      <c r="K571" s="89"/>
    </row>
    <row r="572">
      <c r="C572" s="89"/>
      <c r="I572" s="56"/>
      <c r="J572" s="89"/>
      <c r="K572" s="89"/>
    </row>
    <row r="573">
      <c r="C573" s="89"/>
      <c r="I573" s="56"/>
      <c r="J573" s="89"/>
      <c r="K573" s="89"/>
    </row>
    <row r="574">
      <c r="C574" s="89"/>
      <c r="I574" s="56"/>
      <c r="J574" s="89"/>
      <c r="K574" s="89"/>
    </row>
    <row r="575">
      <c r="C575" s="89"/>
      <c r="I575" s="56"/>
      <c r="J575" s="89"/>
      <c r="K575" s="89"/>
    </row>
    <row r="576">
      <c r="C576" s="89"/>
      <c r="I576" s="56"/>
      <c r="J576" s="89"/>
      <c r="K576" s="89"/>
    </row>
    <row r="577">
      <c r="C577" s="89"/>
      <c r="I577" s="56"/>
      <c r="J577" s="89"/>
      <c r="K577" s="89"/>
    </row>
    <row r="578">
      <c r="C578" s="89"/>
      <c r="I578" s="56"/>
      <c r="J578" s="89"/>
      <c r="K578" s="89"/>
    </row>
    <row r="579">
      <c r="C579" s="89"/>
      <c r="I579" s="56"/>
      <c r="J579" s="89"/>
      <c r="K579" s="89"/>
    </row>
    <row r="580">
      <c r="C580" s="89"/>
      <c r="I580" s="56"/>
      <c r="J580" s="89"/>
      <c r="K580" s="89"/>
    </row>
    <row r="581">
      <c r="C581" s="89"/>
      <c r="I581" s="56"/>
      <c r="J581" s="89"/>
      <c r="K581" s="89"/>
    </row>
    <row r="582">
      <c r="C582" s="89"/>
      <c r="I582" s="56"/>
      <c r="J582" s="89"/>
      <c r="K582" s="89"/>
    </row>
    <row r="583">
      <c r="C583" s="89"/>
      <c r="I583" s="56"/>
      <c r="J583" s="89"/>
      <c r="K583" s="89"/>
    </row>
    <row r="584">
      <c r="C584" s="89"/>
      <c r="I584" s="56"/>
      <c r="J584" s="89"/>
      <c r="K584" s="89"/>
    </row>
    <row r="585">
      <c r="C585" s="89"/>
      <c r="I585" s="56"/>
      <c r="J585" s="89"/>
      <c r="K585" s="89"/>
    </row>
    <row r="586">
      <c r="C586" s="89"/>
      <c r="I586" s="56"/>
      <c r="J586" s="89"/>
      <c r="K586" s="89"/>
    </row>
    <row r="587">
      <c r="C587" s="89"/>
      <c r="I587" s="56"/>
      <c r="J587" s="89"/>
      <c r="K587" s="89"/>
    </row>
    <row r="588">
      <c r="C588" s="89"/>
      <c r="I588" s="56"/>
      <c r="J588" s="89"/>
      <c r="K588" s="89"/>
    </row>
    <row r="589">
      <c r="C589" s="89"/>
      <c r="I589" s="56"/>
      <c r="J589" s="89"/>
      <c r="K589" s="89"/>
    </row>
    <row r="590">
      <c r="C590" s="89"/>
      <c r="I590" s="56"/>
      <c r="J590" s="89"/>
      <c r="K590" s="89"/>
    </row>
    <row r="591">
      <c r="C591" s="89"/>
      <c r="I591" s="56"/>
      <c r="J591" s="89"/>
      <c r="K591" s="89"/>
    </row>
    <row r="592">
      <c r="C592" s="89"/>
      <c r="I592" s="56"/>
      <c r="J592" s="89"/>
      <c r="K592" s="89"/>
    </row>
    <row r="593">
      <c r="C593" s="89"/>
      <c r="I593" s="56"/>
      <c r="J593" s="89"/>
      <c r="K593" s="89"/>
    </row>
    <row r="594">
      <c r="C594" s="89"/>
      <c r="I594" s="56"/>
      <c r="J594" s="89"/>
      <c r="K594" s="89"/>
    </row>
    <row r="595">
      <c r="C595" s="89"/>
      <c r="I595" s="56"/>
      <c r="J595" s="89"/>
      <c r="K595" s="89"/>
    </row>
    <row r="596">
      <c r="C596" s="89"/>
      <c r="I596" s="56"/>
      <c r="J596" s="89"/>
      <c r="K596" s="89"/>
    </row>
    <row r="597">
      <c r="C597" s="89"/>
      <c r="I597" s="56"/>
      <c r="J597" s="89"/>
      <c r="K597" s="89"/>
    </row>
    <row r="598">
      <c r="C598" s="89"/>
      <c r="I598" s="56"/>
      <c r="J598" s="89"/>
      <c r="K598" s="89"/>
    </row>
    <row r="599">
      <c r="C599" s="89"/>
      <c r="I599" s="56"/>
      <c r="J599" s="89"/>
      <c r="K599" s="89"/>
    </row>
    <row r="600">
      <c r="C600" s="89"/>
      <c r="I600" s="56"/>
      <c r="J600" s="89"/>
      <c r="K600" s="89"/>
    </row>
    <row r="601">
      <c r="C601" s="89"/>
      <c r="I601" s="56"/>
      <c r="J601" s="89"/>
      <c r="K601" s="89"/>
    </row>
    <row r="602">
      <c r="C602" s="89"/>
      <c r="I602" s="56"/>
      <c r="J602" s="89"/>
      <c r="K602" s="89"/>
    </row>
    <row r="603">
      <c r="C603" s="89"/>
      <c r="I603" s="56"/>
      <c r="J603" s="89"/>
      <c r="K603" s="89"/>
    </row>
    <row r="604">
      <c r="C604" s="89"/>
      <c r="I604" s="56"/>
      <c r="J604" s="89"/>
      <c r="K604" s="89"/>
    </row>
    <row r="605">
      <c r="C605" s="89"/>
      <c r="I605" s="56"/>
      <c r="J605" s="89"/>
      <c r="K605" s="89"/>
    </row>
    <row r="606">
      <c r="C606" s="89"/>
      <c r="I606" s="56"/>
      <c r="J606" s="89"/>
      <c r="K606" s="89"/>
    </row>
    <row r="607">
      <c r="C607" s="89"/>
      <c r="I607" s="56"/>
      <c r="J607" s="89"/>
      <c r="K607" s="89"/>
    </row>
    <row r="608">
      <c r="C608" s="89"/>
      <c r="I608" s="56"/>
      <c r="J608" s="89"/>
      <c r="K608" s="89"/>
    </row>
    <row r="609">
      <c r="C609" s="89"/>
      <c r="I609" s="56"/>
      <c r="J609" s="89"/>
      <c r="K609" s="89"/>
    </row>
    <row r="610">
      <c r="C610" s="89"/>
      <c r="I610" s="56"/>
      <c r="J610" s="89"/>
      <c r="K610" s="89"/>
    </row>
    <row r="611">
      <c r="C611" s="89"/>
      <c r="I611" s="56"/>
      <c r="J611" s="89"/>
      <c r="K611" s="89"/>
    </row>
    <row r="612">
      <c r="C612" s="89"/>
      <c r="I612" s="56"/>
      <c r="J612" s="89"/>
      <c r="K612" s="89"/>
    </row>
    <row r="613">
      <c r="C613" s="89"/>
      <c r="I613" s="56"/>
      <c r="J613" s="89"/>
      <c r="K613" s="89"/>
    </row>
    <row r="614">
      <c r="C614" s="89"/>
      <c r="I614" s="56"/>
      <c r="J614" s="89"/>
      <c r="K614" s="89"/>
    </row>
    <row r="615">
      <c r="C615" s="89"/>
      <c r="I615" s="56"/>
      <c r="J615" s="89"/>
      <c r="K615" s="89"/>
    </row>
    <row r="616">
      <c r="C616" s="89"/>
      <c r="I616" s="56"/>
      <c r="J616" s="89"/>
      <c r="K616" s="89"/>
    </row>
    <row r="617">
      <c r="C617" s="89"/>
      <c r="I617" s="56"/>
      <c r="J617" s="89"/>
      <c r="K617" s="89"/>
    </row>
    <row r="618">
      <c r="C618" s="89"/>
      <c r="I618" s="56"/>
      <c r="J618" s="89"/>
      <c r="K618" s="89"/>
    </row>
    <row r="619">
      <c r="C619" s="89"/>
      <c r="I619" s="56"/>
      <c r="J619" s="89"/>
      <c r="K619" s="89"/>
    </row>
    <row r="620">
      <c r="C620" s="89"/>
      <c r="I620" s="56"/>
      <c r="J620" s="89"/>
      <c r="K620" s="89"/>
    </row>
    <row r="621">
      <c r="C621" s="89"/>
      <c r="I621" s="56"/>
      <c r="J621" s="89"/>
      <c r="K621" s="89"/>
    </row>
    <row r="622">
      <c r="C622" s="89"/>
      <c r="I622" s="56"/>
      <c r="J622" s="89"/>
      <c r="K622" s="89"/>
    </row>
    <row r="623">
      <c r="C623" s="89"/>
      <c r="I623" s="56"/>
      <c r="J623" s="89"/>
      <c r="K623" s="89"/>
    </row>
    <row r="624">
      <c r="C624" s="89"/>
      <c r="I624" s="56"/>
      <c r="J624" s="89"/>
      <c r="K624" s="89"/>
    </row>
    <row r="625">
      <c r="C625" s="89"/>
      <c r="I625" s="56"/>
      <c r="J625" s="89"/>
      <c r="K625" s="89"/>
    </row>
    <row r="626">
      <c r="C626" s="89"/>
      <c r="I626" s="56"/>
      <c r="J626" s="89"/>
      <c r="K626" s="89"/>
    </row>
    <row r="627">
      <c r="C627" s="89"/>
      <c r="I627" s="56"/>
      <c r="J627" s="89"/>
      <c r="K627" s="89"/>
    </row>
    <row r="628">
      <c r="C628" s="89"/>
      <c r="I628" s="56"/>
      <c r="J628" s="89"/>
      <c r="K628" s="89"/>
    </row>
    <row r="629">
      <c r="C629" s="89"/>
      <c r="I629" s="56"/>
      <c r="J629" s="89"/>
      <c r="K629" s="89"/>
    </row>
    <row r="630">
      <c r="C630" s="89"/>
      <c r="I630" s="56"/>
      <c r="J630" s="89"/>
      <c r="K630" s="89"/>
    </row>
    <row r="631">
      <c r="C631" s="89"/>
      <c r="I631" s="56"/>
      <c r="J631" s="89"/>
      <c r="K631" s="89"/>
    </row>
    <row r="632">
      <c r="C632" s="89"/>
      <c r="I632" s="56"/>
      <c r="J632" s="89"/>
      <c r="K632" s="89"/>
    </row>
    <row r="633">
      <c r="C633" s="89"/>
      <c r="I633" s="56"/>
      <c r="J633" s="89"/>
      <c r="K633" s="89"/>
    </row>
    <row r="634">
      <c r="C634" s="89"/>
      <c r="I634" s="56"/>
      <c r="J634" s="89"/>
      <c r="K634" s="89"/>
    </row>
    <row r="635">
      <c r="C635" s="89"/>
      <c r="I635" s="56"/>
      <c r="J635" s="89"/>
      <c r="K635" s="89"/>
    </row>
    <row r="636">
      <c r="C636" s="89"/>
      <c r="I636" s="56"/>
      <c r="J636" s="89"/>
      <c r="K636" s="89"/>
    </row>
    <row r="637">
      <c r="C637" s="89"/>
      <c r="I637" s="56"/>
      <c r="J637" s="89"/>
      <c r="K637" s="89"/>
    </row>
    <row r="638">
      <c r="C638" s="89"/>
      <c r="I638" s="56"/>
      <c r="J638" s="89"/>
      <c r="K638" s="89"/>
    </row>
    <row r="639">
      <c r="C639" s="89"/>
      <c r="I639" s="56"/>
      <c r="J639" s="89"/>
      <c r="K639" s="89"/>
    </row>
    <row r="640">
      <c r="C640" s="89"/>
      <c r="I640" s="56"/>
      <c r="J640" s="89"/>
      <c r="K640" s="89"/>
    </row>
    <row r="641">
      <c r="C641" s="89"/>
      <c r="I641" s="56"/>
      <c r="J641" s="89"/>
      <c r="K641" s="89"/>
    </row>
    <row r="642">
      <c r="C642" s="89"/>
      <c r="I642" s="56"/>
      <c r="J642" s="89"/>
      <c r="K642" s="89"/>
    </row>
    <row r="643">
      <c r="C643" s="89"/>
      <c r="I643" s="56"/>
      <c r="J643" s="89"/>
      <c r="K643" s="89"/>
    </row>
    <row r="644">
      <c r="C644" s="89"/>
      <c r="I644" s="56"/>
      <c r="J644" s="89"/>
      <c r="K644" s="89"/>
    </row>
    <row r="645">
      <c r="C645" s="89"/>
      <c r="I645" s="56"/>
      <c r="J645" s="89"/>
      <c r="K645" s="89"/>
    </row>
    <row r="646">
      <c r="C646" s="89"/>
      <c r="I646" s="56"/>
      <c r="J646" s="89"/>
      <c r="K646" s="89"/>
    </row>
    <row r="647">
      <c r="C647" s="89"/>
      <c r="I647" s="56"/>
      <c r="J647" s="89"/>
      <c r="K647" s="89"/>
    </row>
    <row r="648">
      <c r="C648" s="89"/>
      <c r="I648" s="56"/>
      <c r="J648" s="89"/>
      <c r="K648" s="89"/>
    </row>
    <row r="649">
      <c r="C649" s="89"/>
      <c r="I649" s="56"/>
      <c r="J649" s="89"/>
      <c r="K649" s="89"/>
    </row>
    <row r="650">
      <c r="C650" s="89"/>
      <c r="I650" s="56"/>
      <c r="J650" s="89"/>
      <c r="K650" s="89"/>
    </row>
    <row r="651">
      <c r="C651" s="89"/>
      <c r="I651" s="56"/>
      <c r="J651" s="89"/>
      <c r="K651" s="89"/>
    </row>
    <row r="652">
      <c r="C652" s="89"/>
      <c r="I652" s="56"/>
      <c r="J652" s="89"/>
      <c r="K652" s="89"/>
    </row>
    <row r="653">
      <c r="C653" s="89"/>
      <c r="I653" s="56"/>
      <c r="J653" s="89"/>
      <c r="K653" s="89"/>
    </row>
    <row r="654">
      <c r="C654" s="89"/>
      <c r="I654" s="56"/>
      <c r="J654" s="89"/>
      <c r="K654" s="89"/>
    </row>
    <row r="655">
      <c r="C655" s="89"/>
      <c r="I655" s="56"/>
      <c r="J655" s="89"/>
      <c r="K655" s="89"/>
    </row>
    <row r="656">
      <c r="C656" s="89"/>
      <c r="I656" s="56"/>
      <c r="J656" s="89"/>
      <c r="K656" s="89"/>
    </row>
    <row r="657">
      <c r="C657" s="89"/>
      <c r="I657" s="56"/>
      <c r="J657" s="89"/>
      <c r="K657" s="89"/>
    </row>
    <row r="658">
      <c r="C658" s="89"/>
      <c r="I658" s="56"/>
      <c r="J658" s="89"/>
      <c r="K658" s="89"/>
    </row>
    <row r="659">
      <c r="C659" s="89"/>
      <c r="I659" s="56"/>
      <c r="J659" s="89"/>
      <c r="K659" s="89"/>
    </row>
    <row r="660">
      <c r="C660" s="89"/>
      <c r="I660" s="56"/>
      <c r="J660" s="89"/>
      <c r="K660" s="89"/>
    </row>
    <row r="661">
      <c r="C661" s="89"/>
      <c r="I661" s="56"/>
      <c r="J661" s="89"/>
      <c r="K661" s="89"/>
    </row>
    <row r="662">
      <c r="C662" s="89"/>
      <c r="I662" s="56"/>
      <c r="J662" s="89"/>
      <c r="K662" s="89"/>
    </row>
    <row r="663">
      <c r="C663" s="89"/>
      <c r="I663" s="56"/>
      <c r="J663" s="89"/>
      <c r="K663" s="89"/>
    </row>
    <row r="664">
      <c r="C664" s="89"/>
      <c r="I664" s="56"/>
      <c r="J664" s="89"/>
      <c r="K664" s="89"/>
    </row>
    <row r="665">
      <c r="C665" s="89"/>
      <c r="I665" s="56"/>
      <c r="J665" s="89"/>
      <c r="K665" s="89"/>
    </row>
    <row r="666">
      <c r="C666" s="89"/>
      <c r="I666" s="56"/>
      <c r="J666" s="89"/>
      <c r="K666" s="89"/>
    </row>
    <row r="667">
      <c r="C667" s="89"/>
      <c r="I667" s="56"/>
      <c r="J667" s="89"/>
      <c r="K667" s="89"/>
    </row>
    <row r="668">
      <c r="C668" s="89"/>
      <c r="I668" s="56"/>
      <c r="J668" s="89"/>
      <c r="K668" s="89"/>
    </row>
    <row r="669">
      <c r="C669" s="89"/>
      <c r="I669" s="56"/>
      <c r="J669" s="89"/>
      <c r="K669" s="89"/>
    </row>
    <row r="670">
      <c r="C670" s="89"/>
      <c r="I670" s="56"/>
      <c r="J670" s="89"/>
      <c r="K670" s="89"/>
    </row>
    <row r="671">
      <c r="C671" s="89"/>
      <c r="I671" s="56"/>
      <c r="J671" s="89"/>
      <c r="K671" s="89"/>
    </row>
    <row r="672">
      <c r="C672" s="89"/>
      <c r="I672" s="56"/>
      <c r="J672" s="89"/>
      <c r="K672" s="89"/>
    </row>
    <row r="673">
      <c r="C673" s="89"/>
      <c r="I673" s="56"/>
      <c r="J673" s="89"/>
      <c r="K673" s="89"/>
    </row>
    <row r="674">
      <c r="C674" s="89"/>
      <c r="I674" s="56"/>
      <c r="J674" s="89"/>
      <c r="K674" s="89"/>
    </row>
    <row r="675">
      <c r="C675" s="89"/>
      <c r="I675" s="56"/>
      <c r="J675" s="89"/>
      <c r="K675" s="89"/>
    </row>
    <row r="676">
      <c r="C676" s="89"/>
      <c r="I676" s="56"/>
      <c r="J676" s="89"/>
      <c r="K676" s="89"/>
    </row>
    <row r="677">
      <c r="C677" s="89"/>
      <c r="I677" s="56"/>
      <c r="J677" s="89"/>
      <c r="K677" s="89"/>
    </row>
    <row r="678">
      <c r="C678" s="89"/>
      <c r="I678" s="56"/>
      <c r="J678" s="89"/>
      <c r="K678" s="89"/>
    </row>
    <row r="679">
      <c r="C679" s="89"/>
      <c r="I679" s="56"/>
      <c r="J679" s="89"/>
      <c r="K679" s="89"/>
    </row>
    <row r="680">
      <c r="C680" s="89"/>
      <c r="I680" s="56"/>
      <c r="J680" s="89"/>
      <c r="K680" s="89"/>
    </row>
    <row r="681">
      <c r="C681" s="89"/>
      <c r="I681" s="56"/>
      <c r="J681" s="89"/>
      <c r="K681" s="89"/>
    </row>
    <row r="682">
      <c r="C682" s="89"/>
      <c r="I682" s="56"/>
      <c r="J682" s="89"/>
      <c r="K682" s="89"/>
    </row>
    <row r="683">
      <c r="C683" s="89"/>
      <c r="I683" s="56"/>
      <c r="J683" s="89"/>
      <c r="K683" s="89"/>
    </row>
    <row r="684">
      <c r="C684" s="89"/>
      <c r="I684" s="56"/>
      <c r="J684" s="89"/>
      <c r="K684" s="89"/>
    </row>
    <row r="685">
      <c r="C685" s="89"/>
      <c r="I685" s="56"/>
      <c r="J685" s="89"/>
      <c r="K685" s="89"/>
    </row>
    <row r="686">
      <c r="C686" s="89"/>
      <c r="I686" s="56"/>
      <c r="J686" s="89"/>
      <c r="K686" s="89"/>
    </row>
    <row r="687">
      <c r="C687" s="89"/>
      <c r="I687" s="56"/>
      <c r="J687" s="89"/>
      <c r="K687" s="89"/>
    </row>
    <row r="688">
      <c r="C688" s="89"/>
      <c r="I688" s="56"/>
      <c r="J688" s="89"/>
      <c r="K688" s="89"/>
    </row>
    <row r="689">
      <c r="C689" s="89"/>
      <c r="I689" s="56"/>
      <c r="J689" s="89"/>
      <c r="K689" s="89"/>
    </row>
    <row r="690">
      <c r="C690" s="89"/>
      <c r="I690" s="56"/>
      <c r="J690" s="89"/>
      <c r="K690" s="89"/>
    </row>
    <row r="691">
      <c r="C691" s="89"/>
      <c r="I691" s="56"/>
      <c r="J691" s="89"/>
      <c r="K691" s="89"/>
    </row>
    <row r="692">
      <c r="C692" s="89"/>
      <c r="I692" s="56"/>
      <c r="J692" s="89"/>
      <c r="K692" s="89"/>
    </row>
    <row r="693">
      <c r="C693" s="89"/>
      <c r="I693" s="56"/>
      <c r="J693" s="89"/>
      <c r="K693" s="89"/>
    </row>
    <row r="694">
      <c r="C694" s="89"/>
      <c r="I694" s="56"/>
      <c r="J694" s="89"/>
      <c r="K694" s="89"/>
    </row>
    <row r="695">
      <c r="C695" s="89"/>
      <c r="I695" s="56"/>
      <c r="J695" s="89"/>
      <c r="K695" s="89"/>
    </row>
    <row r="696">
      <c r="C696" s="89"/>
      <c r="I696" s="56"/>
      <c r="J696" s="89"/>
      <c r="K696" s="89"/>
    </row>
    <row r="697">
      <c r="C697" s="89"/>
      <c r="I697" s="56"/>
      <c r="J697" s="89"/>
      <c r="K697" s="89"/>
    </row>
    <row r="698">
      <c r="C698" s="89"/>
      <c r="I698" s="56"/>
      <c r="J698" s="89"/>
      <c r="K698" s="89"/>
    </row>
    <row r="699">
      <c r="C699" s="89"/>
      <c r="I699" s="56"/>
      <c r="J699" s="89"/>
      <c r="K699" s="89"/>
    </row>
    <row r="700">
      <c r="C700" s="89"/>
      <c r="I700" s="56"/>
      <c r="J700" s="89"/>
      <c r="K700" s="89"/>
    </row>
    <row r="701">
      <c r="C701" s="89"/>
      <c r="I701" s="56"/>
      <c r="J701" s="89"/>
      <c r="K701" s="89"/>
    </row>
    <row r="702">
      <c r="C702" s="89"/>
      <c r="I702" s="56"/>
      <c r="J702" s="89"/>
      <c r="K702" s="89"/>
    </row>
    <row r="703">
      <c r="C703" s="89"/>
      <c r="I703" s="56"/>
      <c r="J703" s="89"/>
      <c r="K703" s="89"/>
    </row>
    <row r="704">
      <c r="C704" s="89"/>
      <c r="I704" s="56"/>
      <c r="J704" s="89"/>
      <c r="K704" s="89"/>
    </row>
    <row r="705">
      <c r="C705" s="89"/>
      <c r="I705" s="56"/>
      <c r="J705" s="89"/>
      <c r="K705" s="89"/>
    </row>
    <row r="706">
      <c r="C706" s="89"/>
      <c r="I706" s="56"/>
      <c r="J706" s="89"/>
      <c r="K706" s="89"/>
    </row>
    <row r="707">
      <c r="C707" s="89"/>
      <c r="I707" s="56"/>
      <c r="J707" s="89"/>
      <c r="K707" s="89"/>
    </row>
    <row r="708">
      <c r="C708" s="89"/>
      <c r="I708" s="56"/>
      <c r="J708" s="89"/>
      <c r="K708" s="89"/>
    </row>
    <row r="709">
      <c r="C709" s="89"/>
      <c r="I709" s="56"/>
      <c r="J709" s="89"/>
      <c r="K709" s="89"/>
    </row>
    <row r="710">
      <c r="C710" s="89"/>
      <c r="I710" s="56"/>
      <c r="J710" s="89"/>
      <c r="K710" s="89"/>
    </row>
    <row r="711">
      <c r="C711" s="89"/>
      <c r="I711" s="56"/>
      <c r="J711" s="89"/>
      <c r="K711" s="89"/>
    </row>
    <row r="712">
      <c r="C712" s="89"/>
      <c r="I712" s="56"/>
      <c r="J712" s="89"/>
      <c r="K712" s="89"/>
    </row>
    <row r="713">
      <c r="C713" s="89"/>
      <c r="I713" s="56"/>
      <c r="J713" s="89"/>
      <c r="K713" s="89"/>
    </row>
    <row r="714">
      <c r="C714" s="89"/>
      <c r="I714" s="56"/>
      <c r="J714" s="89"/>
      <c r="K714" s="89"/>
    </row>
    <row r="715">
      <c r="C715" s="89"/>
      <c r="I715" s="56"/>
      <c r="J715" s="89"/>
      <c r="K715" s="89"/>
    </row>
    <row r="716">
      <c r="C716" s="89"/>
      <c r="I716" s="56"/>
      <c r="J716" s="89"/>
      <c r="K716" s="89"/>
    </row>
    <row r="717">
      <c r="C717" s="89"/>
      <c r="I717" s="56"/>
      <c r="J717" s="89"/>
      <c r="K717" s="89"/>
    </row>
    <row r="718">
      <c r="C718" s="89"/>
      <c r="I718" s="56"/>
      <c r="J718" s="89"/>
      <c r="K718" s="89"/>
    </row>
    <row r="719">
      <c r="C719" s="89"/>
      <c r="I719" s="56"/>
      <c r="J719" s="89"/>
      <c r="K719" s="89"/>
    </row>
    <row r="720">
      <c r="C720" s="89"/>
      <c r="I720" s="56"/>
      <c r="J720" s="89"/>
      <c r="K720" s="89"/>
    </row>
    <row r="721">
      <c r="C721" s="89"/>
      <c r="I721" s="56"/>
      <c r="J721" s="89"/>
      <c r="K721" s="89"/>
    </row>
    <row r="722">
      <c r="C722" s="89"/>
      <c r="I722" s="56"/>
      <c r="J722" s="89"/>
      <c r="K722" s="89"/>
    </row>
    <row r="723">
      <c r="C723" s="89"/>
      <c r="I723" s="56"/>
      <c r="J723" s="89"/>
      <c r="K723" s="89"/>
    </row>
    <row r="724">
      <c r="C724" s="89"/>
      <c r="I724" s="56"/>
      <c r="J724" s="89"/>
      <c r="K724" s="89"/>
    </row>
    <row r="725">
      <c r="C725" s="89"/>
      <c r="I725" s="56"/>
      <c r="J725" s="89"/>
      <c r="K725" s="89"/>
    </row>
    <row r="726">
      <c r="C726" s="89"/>
      <c r="I726" s="56"/>
      <c r="J726" s="89"/>
      <c r="K726" s="89"/>
    </row>
    <row r="727">
      <c r="C727" s="89"/>
      <c r="I727" s="56"/>
      <c r="J727" s="89"/>
      <c r="K727" s="89"/>
    </row>
    <row r="728">
      <c r="C728" s="89"/>
      <c r="I728" s="56"/>
      <c r="J728" s="89"/>
      <c r="K728" s="89"/>
    </row>
    <row r="729">
      <c r="C729" s="89"/>
      <c r="I729" s="56"/>
      <c r="J729" s="89"/>
      <c r="K729" s="89"/>
    </row>
    <row r="730">
      <c r="C730" s="89"/>
      <c r="I730" s="56"/>
      <c r="J730" s="89"/>
      <c r="K730" s="89"/>
    </row>
    <row r="731">
      <c r="C731" s="89"/>
      <c r="I731" s="56"/>
      <c r="J731" s="89"/>
      <c r="K731" s="89"/>
    </row>
    <row r="732">
      <c r="C732" s="89"/>
      <c r="I732" s="56"/>
      <c r="J732" s="89"/>
      <c r="K732" s="89"/>
    </row>
    <row r="733">
      <c r="C733" s="89"/>
      <c r="I733" s="56"/>
      <c r="J733" s="89"/>
      <c r="K733" s="89"/>
    </row>
    <row r="734">
      <c r="C734" s="89"/>
      <c r="I734" s="56"/>
      <c r="J734" s="89"/>
      <c r="K734" s="89"/>
    </row>
    <row r="735">
      <c r="C735" s="89"/>
      <c r="I735" s="56"/>
      <c r="J735" s="89"/>
      <c r="K735" s="89"/>
    </row>
    <row r="736">
      <c r="C736" s="89"/>
      <c r="I736" s="56"/>
      <c r="J736" s="89"/>
      <c r="K736" s="89"/>
    </row>
    <row r="737">
      <c r="C737" s="89"/>
      <c r="I737" s="56"/>
      <c r="J737" s="89"/>
      <c r="K737" s="89"/>
    </row>
    <row r="738">
      <c r="C738" s="89"/>
      <c r="I738" s="56"/>
      <c r="J738" s="89"/>
      <c r="K738" s="89"/>
    </row>
    <row r="739">
      <c r="C739" s="89"/>
      <c r="I739" s="56"/>
      <c r="J739" s="89"/>
      <c r="K739" s="89"/>
    </row>
    <row r="740">
      <c r="C740" s="89"/>
      <c r="I740" s="56"/>
      <c r="J740" s="89"/>
      <c r="K740" s="89"/>
    </row>
    <row r="741">
      <c r="C741" s="89"/>
      <c r="I741" s="56"/>
      <c r="J741" s="89"/>
      <c r="K741" s="89"/>
    </row>
    <row r="742">
      <c r="C742" s="89"/>
      <c r="I742" s="56"/>
      <c r="J742" s="89"/>
      <c r="K742" s="89"/>
    </row>
    <row r="743">
      <c r="C743" s="89"/>
      <c r="I743" s="56"/>
      <c r="J743" s="89"/>
      <c r="K743" s="89"/>
    </row>
    <row r="744">
      <c r="C744" s="89"/>
      <c r="I744" s="56"/>
      <c r="J744" s="89"/>
      <c r="K744" s="89"/>
    </row>
    <row r="745">
      <c r="C745" s="89"/>
      <c r="I745" s="56"/>
      <c r="J745" s="89"/>
      <c r="K745" s="89"/>
    </row>
    <row r="746">
      <c r="C746" s="89"/>
      <c r="I746" s="56"/>
      <c r="J746" s="89"/>
      <c r="K746" s="89"/>
    </row>
    <row r="747">
      <c r="C747" s="89"/>
      <c r="I747" s="56"/>
      <c r="J747" s="89"/>
      <c r="K747" s="89"/>
    </row>
    <row r="748">
      <c r="C748" s="89"/>
      <c r="I748" s="56"/>
      <c r="J748" s="89"/>
      <c r="K748" s="89"/>
    </row>
    <row r="749">
      <c r="C749" s="89"/>
      <c r="I749" s="56"/>
      <c r="J749" s="89"/>
      <c r="K749" s="89"/>
    </row>
    <row r="750">
      <c r="C750" s="89"/>
      <c r="I750" s="56"/>
      <c r="J750" s="89"/>
      <c r="K750" s="89"/>
    </row>
    <row r="751">
      <c r="C751" s="89"/>
      <c r="I751" s="56"/>
      <c r="J751" s="89"/>
      <c r="K751" s="89"/>
    </row>
    <row r="752">
      <c r="C752" s="89"/>
      <c r="I752" s="56"/>
      <c r="J752" s="89"/>
      <c r="K752" s="89"/>
    </row>
    <row r="753">
      <c r="C753" s="89"/>
      <c r="I753" s="56"/>
      <c r="J753" s="89"/>
      <c r="K753" s="89"/>
    </row>
    <row r="754">
      <c r="C754" s="89"/>
      <c r="I754" s="56"/>
      <c r="J754" s="89"/>
      <c r="K754" s="89"/>
    </row>
    <row r="755">
      <c r="C755" s="89"/>
      <c r="I755" s="56"/>
      <c r="J755" s="89"/>
      <c r="K755" s="89"/>
    </row>
    <row r="756">
      <c r="C756" s="89"/>
      <c r="I756" s="56"/>
      <c r="J756" s="89"/>
      <c r="K756" s="89"/>
    </row>
    <row r="757">
      <c r="C757" s="89"/>
      <c r="I757" s="56"/>
      <c r="J757" s="89"/>
      <c r="K757" s="89"/>
    </row>
    <row r="758">
      <c r="C758" s="89"/>
      <c r="I758" s="56"/>
      <c r="J758" s="89"/>
      <c r="K758" s="89"/>
    </row>
    <row r="759">
      <c r="C759" s="89"/>
      <c r="I759" s="56"/>
      <c r="J759" s="89"/>
      <c r="K759" s="89"/>
    </row>
    <row r="760">
      <c r="C760" s="89"/>
      <c r="I760" s="56"/>
      <c r="J760" s="89"/>
      <c r="K760" s="89"/>
    </row>
    <row r="761">
      <c r="C761" s="89"/>
      <c r="I761" s="56"/>
      <c r="J761" s="89"/>
      <c r="K761" s="89"/>
    </row>
    <row r="762">
      <c r="C762" s="89"/>
      <c r="I762" s="56"/>
      <c r="J762" s="89"/>
      <c r="K762" s="89"/>
    </row>
    <row r="763">
      <c r="C763" s="89"/>
      <c r="I763" s="56"/>
      <c r="J763" s="89"/>
      <c r="K763" s="89"/>
    </row>
    <row r="764">
      <c r="C764" s="89"/>
      <c r="I764" s="56"/>
      <c r="J764" s="89"/>
      <c r="K764" s="89"/>
    </row>
    <row r="765">
      <c r="C765" s="89"/>
      <c r="I765" s="56"/>
      <c r="J765" s="89"/>
      <c r="K765" s="89"/>
    </row>
    <row r="766">
      <c r="C766" s="89"/>
      <c r="I766" s="56"/>
      <c r="J766" s="89"/>
      <c r="K766" s="89"/>
    </row>
    <row r="767">
      <c r="C767" s="89"/>
      <c r="I767" s="56"/>
      <c r="J767" s="89"/>
      <c r="K767" s="89"/>
    </row>
    <row r="768">
      <c r="C768" s="89"/>
      <c r="I768" s="56"/>
      <c r="J768" s="89"/>
      <c r="K768" s="89"/>
    </row>
    <row r="769">
      <c r="C769" s="89"/>
      <c r="I769" s="56"/>
      <c r="J769" s="89"/>
      <c r="K769" s="89"/>
    </row>
    <row r="770">
      <c r="C770" s="89"/>
      <c r="I770" s="56"/>
      <c r="J770" s="89"/>
      <c r="K770" s="89"/>
    </row>
    <row r="771">
      <c r="C771" s="89"/>
      <c r="I771" s="56"/>
      <c r="J771" s="89"/>
      <c r="K771" s="89"/>
    </row>
    <row r="772">
      <c r="C772" s="89"/>
      <c r="I772" s="56"/>
      <c r="J772" s="89"/>
      <c r="K772" s="89"/>
    </row>
    <row r="773">
      <c r="C773" s="89"/>
      <c r="I773" s="56"/>
      <c r="J773" s="89"/>
      <c r="K773" s="89"/>
    </row>
    <row r="774">
      <c r="C774" s="89"/>
      <c r="I774" s="56"/>
      <c r="J774" s="89"/>
      <c r="K774" s="89"/>
    </row>
    <row r="775">
      <c r="C775" s="89"/>
      <c r="I775" s="56"/>
      <c r="J775" s="89"/>
      <c r="K775" s="89"/>
    </row>
    <row r="776">
      <c r="C776" s="89"/>
      <c r="I776" s="56"/>
      <c r="J776" s="89"/>
      <c r="K776" s="89"/>
    </row>
    <row r="777">
      <c r="C777" s="89"/>
      <c r="I777" s="56"/>
      <c r="J777" s="89"/>
      <c r="K777" s="89"/>
    </row>
    <row r="778">
      <c r="C778" s="89"/>
      <c r="I778" s="56"/>
      <c r="J778" s="89"/>
      <c r="K778" s="89"/>
    </row>
    <row r="779">
      <c r="C779" s="89"/>
      <c r="I779" s="56"/>
      <c r="J779" s="89"/>
      <c r="K779" s="89"/>
    </row>
    <row r="780">
      <c r="C780" s="89"/>
      <c r="I780" s="56"/>
      <c r="J780" s="89"/>
      <c r="K780" s="89"/>
    </row>
    <row r="781">
      <c r="C781" s="89"/>
      <c r="I781" s="56"/>
      <c r="J781" s="89"/>
      <c r="K781" s="89"/>
    </row>
    <row r="782">
      <c r="C782" s="89"/>
      <c r="I782" s="56"/>
      <c r="J782" s="89"/>
      <c r="K782" s="89"/>
    </row>
    <row r="783">
      <c r="C783" s="89"/>
      <c r="I783" s="56"/>
      <c r="J783" s="89"/>
      <c r="K783" s="89"/>
    </row>
    <row r="784">
      <c r="C784" s="89"/>
      <c r="I784" s="56"/>
      <c r="J784" s="89"/>
      <c r="K784" s="89"/>
    </row>
    <row r="785">
      <c r="C785" s="89"/>
      <c r="I785" s="56"/>
      <c r="J785" s="89"/>
      <c r="K785" s="89"/>
    </row>
    <row r="786">
      <c r="C786" s="89"/>
      <c r="I786" s="56"/>
      <c r="J786" s="89"/>
      <c r="K786" s="89"/>
    </row>
    <row r="787">
      <c r="C787" s="89"/>
      <c r="I787" s="56"/>
      <c r="J787" s="89"/>
      <c r="K787" s="89"/>
    </row>
    <row r="788">
      <c r="C788" s="89"/>
      <c r="I788" s="56"/>
      <c r="J788" s="89"/>
      <c r="K788" s="89"/>
    </row>
    <row r="789">
      <c r="C789" s="89"/>
      <c r="I789" s="56"/>
      <c r="J789" s="89"/>
      <c r="K789" s="89"/>
    </row>
    <row r="790">
      <c r="C790" s="89"/>
      <c r="I790" s="56"/>
      <c r="J790" s="89"/>
      <c r="K790" s="89"/>
    </row>
    <row r="791">
      <c r="C791" s="89"/>
      <c r="I791" s="56"/>
      <c r="J791" s="89"/>
      <c r="K791" s="89"/>
    </row>
    <row r="792">
      <c r="C792" s="89"/>
      <c r="I792" s="56"/>
      <c r="J792" s="89"/>
      <c r="K792" s="89"/>
    </row>
    <row r="793">
      <c r="C793" s="89"/>
      <c r="I793" s="56"/>
      <c r="J793" s="89"/>
      <c r="K793" s="89"/>
    </row>
    <row r="794">
      <c r="C794" s="89"/>
      <c r="I794" s="56"/>
      <c r="J794" s="89"/>
      <c r="K794" s="89"/>
    </row>
    <row r="795">
      <c r="C795" s="89"/>
      <c r="I795" s="56"/>
      <c r="J795" s="89"/>
      <c r="K795" s="89"/>
    </row>
    <row r="796">
      <c r="C796" s="89"/>
      <c r="I796" s="56"/>
      <c r="J796" s="89"/>
      <c r="K796" s="89"/>
    </row>
    <row r="797">
      <c r="C797" s="89"/>
      <c r="I797" s="56"/>
      <c r="J797" s="89"/>
      <c r="K797" s="89"/>
    </row>
    <row r="798">
      <c r="C798" s="89"/>
      <c r="I798" s="56"/>
      <c r="J798" s="89"/>
      <c r="K798" s="89"/>
    </row>
    <row r="799">
      <c r="C799" s="89"/>
      <c r="I799" s="56"/>
      <c r="J799" s="89"/>
      <c r="K799" s="89"/>
    </row>
    <row r="800">
      <c r="C800" s="89"/>
      <c r="I800" s="56"/>
      <c r="J800" s="89"/>
      <c r="K800" s="89"/>
    </row>
    <row r="801">
      <c r="C801" s="89"/>
      <c r="I801" s="56"/>
      <c r="J801" s="89"/>
      <c r="K801" s="89"/>
    </row>
    <row r="802">
      <c r="C802" s="89"/>
      <c r="I802" s="56"/>
      <c r="J802" s="89"/>
      <c r="K802" s="89"/>
    </row>
    <row r="803">
      <c r="C803" s="89"/>
      <c r="I803" s="56"/>
      <c r="J803" s="89"/>
      <c r="K803" s="89"/>
    </row>
    <row r="804">
      <c r="C804" s="89"/>
      <c r="I804" s="56"/>
      <c r="J804" s="89"/>
      <c r="K804" s="89"/>
    </row>
    <row r="805">
      <c r="C805" s="89"/>
      <c r="I805" s="56"/>
      <c r="J805" s="89"/>
      <c r="K805" s="89"/>
    </row>
    <row r="806">
      <c r="C806" s="89"/>
      <c r="I806" s="56"/>
      <c r="J806" s="89"/>
      <c r="K806" s="89"/>
    </row>
    <row r="807">
      <c r="C807" s="89"/>
      <c r="I807" s="56"/>
      <c r="J807" s="89"/>
      <c r="K807" s="89"/>
    </row>
    <row r="808">
      <c r="C808" s="89"/>
      <c r="I808" s="56"/>
      <c r="J808" s="89"/>
      <c r="K808" s="89"/>
    </row>
    <row r="809">
      <c r="C809" s="89"/>
      <c r="I809" s="56"/>
      <c r="J809" s="89"/>
      <c r="K809" s="89"/>
    </row>
    <row r="810">
      <c r="C810" s="89"/>
      <c r="I810" s="56"/>
      <c r="J810" s="89"/>
      <c r="K810" s="89"/>
    </row>
    <row r="811">
      <c r="C811" s="89"/>
      <c r="I811" s="56"/>
      <c r="J811" s="89"/>
      <c r="K811" s="89"/>
    </row>
    <row r="812">
      <c r="C812" s="89"/>
      <c r="I812" s="56"/>
      <c r="J812" s="89"/>
      <c r="K812" s="89"/>
    </row>
    <row r="813">
      <c r="C813" s="89"/>
      <c r="I813" s="56"/>
      <c r="J813" s="89"/>
      <c r="K813" s="89"/>
    </row>
    <row r="814">
      <c r="C814" s="89"/>
      <c r="I814" s="56"/>
      <c r="J814" s="89"/>
      <c r="K814" s="89"/>
    </row>
    <row r="815">
      <c r="C815" s="89"/>
      <c r="I815" s="56"/>
      <c r="J815" s="89"/>
      <c r="K815" s="89"/>
    </row>
    <row r="816">
      <c r="C816" s="89"/>
      <c r="I816" s="56"/>
      <c r="J816" s="89"/>
      <c r="K816" s="89"/>
    </row>
    <row r="817">
      <c r="C817" s="89"/>
      <c r="I817" s="56"/>
      <c r="J817" s="89"/>
      <c r="K817" s="89"/>
    </row>
    <row r="818">
      <c r="C818" s="89"/>
      <c r="I818" s="56"/>
      <c r="J818" s="89"/>
      <c r="K818" s="89"/>
    </row>
    <row r="819">
      <c r="C819" s="89"/>
      <c r="I819" s="56"/>
      <c r="J819" s="89"/>
      <c r="K819" s="89"/>
    </row>
    <row r="820">
      <c r="C820" s="89"/>
      <c r="I820" s="56"/>
      <c r="J820" s="89"/>
      <c r="K820" s="89"/>
    </row>
    <row r="821">
      <c r="C821" s="89"/>
      <c r="I821" s="56"/>
      <c r="J821" s="89"/>
      <c r="K821" s="89"/>
    </row>
    <row r="822">
      <c r="C822" s="89"/>
      <c r="I822" s="56"/>
      <c r="J822" s="89"/>
      <c r="K822" s="89"/>
    </row>
    <row r="823">
      <c r="C823" s="89"/>
      <c r="I823" s="56"/>
      <c r="J823" s="89"/>
      <c r="K823" s="89"/>
    </row>
    <row r="824">
      <c r="C824" s="89"/>
      <c r="I824" s="56"/>
      <c r="J824" s="89"/>
      <c r="K824" s="89"/>
    </row>
    <row r="825">
      <c r="C825" s="89"/>
      <c r="I825" s="56"/>
      <c r="J825" s="89"/>
      <c r="K825" s="89"/>
    </row>
    <row r="826">
      <c r="C826" s="89"/>
      <c r="I826" s="56"/>
      <c r="J826" s="89"/>
      <c r="K826" s="89"/>
    </row>
    <row r="827">
      <c r="C827" s="89"/>
      <c r="I827" s="56"/>
      <c r="J827" s="89"/>
      <c r="K827" s="89"/>
    </row>
    <row r="828">
      <c r="C828" s="89"/>
      <c r="I828" s="56"/>
      <c r="J828" s="89"/>
      <c r="K828" s="89"/>
    </row>
    <row r="829">
      <c r="C829" s="89"/>
      <c r="I829" s="56"/>
      <c r="J829" s="89"/>
      <c r="K829" s="89"/>
    </row>
    <row r="830">
      <c r="C830" s="89"/>
      <c r="I830" s="56"/>
      <c r="J830" s="89"/>
      <c r="K830" s="89"/>
    </row>
    <row r="831">
      <c r="C831" s="89"/>
      <c r="I831" s="56"/>
      <c r="J831" s="89"/>
      <c r="K831" s="89"/>
    </row>
    <row r="832">
      <c r="C832" s="89"/>
      <c r="I832" s="56"/>
      <c r="J832" s="89"/>
      <c r="K832" s="89"/>
    </row>
    <row r="833">
      <c r="C833" s="89"/>
      <c r="I833" s="56"/>
      <c r="J833" s="89"/>
      <c r="K833" s="89"/>
    </row>
    <row r="834">
      <c r="C834" s="89"/>
      <c r="I834" s="56"/>
      <c r="J834" s="89"/>
      <c r="K834" s="89"/>
    </row>
    <row r="835">
      <c r="C835" s="89"/>
      <c r="I835" s="56"/>
      <c r="J835" s="89"/>
      <c r="K835" s="89"/>
    </row>
    <row r="836">
      <c r="C836" s="89"/>
      <c r="I836" s="56"/>
      <c r="J836" s="89"/>
      <c r="K836" s="89"/>
    </row>
    <row r="837">
      <c r="C837" s="89"/>
      <c r="I837" s="56"/>
      <c r="J837" s="89"/>
      <c r="K837" s="89"/>
    </row>
    <row r="838">
      <c r="C838" s="89"/>
      <c r="I838" s="56"/>
      <c r="J838" s="89"/>
      <c r="K838" s="89"/>
    </row>
    <row r="839">
      <c r="C839" s="89"/>
      <c r="I839" s="56"/>
      <c r="J839" s="89"/>
      <c r="K839" s="89"/>
    </row>
    <row r="840">
      <c r="C840" s="89"/>
      <c r="I840" s="56"/>
      <c r="J840" s="89"/>
      <c r="K840" s="89"/>
    </row>
    <row r="841">
      <c r="C841" s="89"/>
      <c r="I841" s="56"/>
      <c r="J841" s="89"/>
      <c r="K841" s="89"/>
    </row>
    <row r="842">
      <c r="C842" s="89"/>
      <c r="I842" s="56"/>
      <c r="J842" s="89"/>
      <c r="K842" s="89"/>
    </row>
    <row r="843">
      <c r="C843" s="89"/>
      <c r="I843" s="56"/>
      <c r="J843" s="89"/>
      <c r="K843" s="89"/>
    </row>
    <row r="844">
      <c r="C844" s="89"/>
      <c r="I844" s="56"/>
      <c r="J844" s="89"/>
      <c r="K844" s="89"/>
    </row>
    <row r="845">
      <c r="C845" s="89"/>
      <c r="I845" s="56"/>
      <c r="J845" s="89"/>
      <c r="K845" s="89"/>
    </row>
    <row r="846">
      <c r="C846" s="89"/>
      <c r="I846" s="56"/>
      <c r="J846" s="89"/>
      <c r="K846" s="89"/>
    </row>
    <row r="847">
      <c r="C847" s="89"/>
      <c r="I847" s="56"/>
      <c r="J847" s="89"/>
      <c r="K847" s="89"/>
    </row>
    <row r="848">
      <c r="C848" s="89"/>
      <c r="I848" s="56"/>
      <c r="J848" s="89"/>
      <c r="K848" s="89"/>
    </row>
    <row r="849">
      <c r="C849" s="89"/>
      <c r="I849" s="56"/>
      <c r="J849" s="89"/>
      <c r="K849" s="89"/>
    </row>
    <row r="850">
      <c r="C850" s="89"/>
      <c r="I850" s="56"/>
      <c r="J850" s="89"/>
      <c r="K850" s="89"/>
    </row>
    <row r="851">
      <c r="C851" s="89"/>
      <c r="I851" s="56"/>
      <c r="J851" s="89"/>
      <c r="K851" s="89"/>
    </row>
    <row r="852">
      <c r="C852" s="89"/>
      <c r="I852" s="56"/>
      <c r="J852" s="89"/>
      <c r="K852" s="89"/>
    </row>
    <row r="853">
      <c r="C853" s="89"/>
      <c r="I853" s="56"/>
      <c r="J853" s="89"/>
      <c r="K853" s="89"/>
    </row>
    <row r="854">
      <c r="C854" s="89"/>
      <c r="I854" s="56"/>
      <c r="J854" s="89"/>
      <c r="K854" s="89"/>
    </row>
    <row r="855">
      <c r="C855" s="89"/>
      <c r="I855" s="56"/>
      <c r="J855" s="89"/>
      <c r="K855" s="89"/>
    </row>
    <row r="856">
      <c r="C856" s="89"/>
      <c r="I856" s="56"/>
      <c r="J856" s="89"/>
      <c r="K856" s="89"/>
    </row>
    <row r="857">
      <c r="C857" s="89"/>
      <c r="I857" s="56"/>
      <c r="J857" s="89"/>
      <c r="K857" s="89"/>
    </row>
    <row r="858">
      <c r="C858" s="89"/>
      <c r="I858" s="56"/>
      <c r="J858" s="89"/>
      <c r="K858" s="89"/>
    </row>
    <row r="859">
      <c r="C859" s="89"/>
      <c r="I859" s="56"/>
      <c r="J859" s="89"/>
      <c r="K859" s="89"/>
    </row>
    <row r="860">
      <c r="C860" s="89"/>
      <c r="I860" s="56"/>
      <c r="J860" s="89"/>
      <c r="K860" s="89"/>
    </row>
    <row r="861">
      <c r="C861" s="89"/>
      <c r="I861" s="56"/>
      <c r="J861" s="89"/>
      <c r="K861" s="89"/>
    </row>
    <row r="862">
      <c r="C862" s="89"/>
      <c r="I862" s="56"/>
      <c r="J862" s="89"/>
      <c r="K862" s="89"/>
    </row>
    <row r="863">
      <c r="C863" s="89"/>
      <c r="I863" s="56"/>
      <c r="J863" s="89"/>
      <c r="K863" s="89"/>
    </row>
    <row r="864">
      <c r="C864" s="89"/>
      <c r="I864" s="56"/>
      <c r="J864" s="89"/>
      <c r="K864" s="89"/>
    </row>
    <row r="865">
      <c r="C865" s="89"/>
      <c r="I865" s="56"/>
      <c r="J865" s="89"/>
      <c r="K865" s="89"/>
    </row>
    <row r="866">
      <c r="C866" s="89"/>
      <c r="I866" s="56"/>
      <c r="J866" s="89"/>
      <c r="K866" s="89"/>
    </row>
    <row r="867">
      <c r="C867" s="89"/>
      <c r="I867" s="56"/>
      <c r="J867" s="89"/>
      <c r="K867" s="89"/>
    </row>
    <row r="868">
      <c r="C868" s="89"/>
      <c r="I868" s="56"/>
      <c r="J868" s="89"/>
      <c r="K868" s="89"/>
    </row>
    <row r="869">
      <c r="C869" s="89"/>
      <c r="I869" s="56"/>
      <c r="J869" s="89"/>
      <c r="K869" s="89"/>
    </row>
    <row r="870">
      <c r="C870" s="89"/>
      <c r="I870" s="56"/>
      <c r="J870" s="89"/>
      <c r="K870" s="89"/>
    </row>
    <row r="871">
      <c r="C871" s="89"/>
      <c r="I871" s="56"/>
      <c r="J871" s="89"/>
      <c r="K871" s="89"/>
    </row>
    <row r="872">
      <c r="C872" s="89"/>
      <c r="I872" s="56"/>
      <c r="J872" s="89"/>
      <c r="K872" s="89"/>
    </row>
    <row r="873">
      <c r="C873" s="89"/>
      <c r="I873" s="56"/>
      <c r="J873" s="89"/>
      <c r="K873" s="89"/>
    </row>
    <row r="874">
      <c r="C874" s="89"/>
      <c r="I874" s="56"/>
      <c r="J874" s="89"/>
      <c r="K874" s="89"/>
    </row>
    <row r="875">
      <c r="C875" s="89"/>
      <c r="I875" s="56"/>
      <c r="J875" s="89"/>
      <c r="K875" s="89"/>
    </row>
    <row r="876">
      <c r="C876" s="89"/>
      <c r="I876" s="56"/>
      <c r="J876" s="89"/>
      <c r="K876" s="89"/>
    </row>
    <row r="877">
      <c r="C877" s="89"/>
      <c r="I877" s="56"/>
      <c r="J877" s="89"/>
      <c r="K877" s="89"/>
    </row>
    <row r="878">
      <c r="C878" s="89"/>
      <c r="I878" s="56"/>
      <c r="J878" s="89"/>
      <c r="K878" s="89"/>
    </row>
    <row r="879">
      <c r="C879" s="89"/>
      <c r="I879" s="56"/>
      <c r="J879" s="89"/>
      <c r="K879" s="89"/>
    </row>
    <row r="880">
      <c r="C880" s="89"/>
      <c r="I880" s="56"/>
      <c r="J880" s="89"/>
      <c r="K880" s="89"/>
    </row>
    <row r="881">
      <c r="C881" s="89"/>
      <c r="I881" s="56"/>
      <c r="J881" s="89"/>
      <c r="K881" s="89"/>
    </row>
    <row r="882">
      <c r="C882" s="89"/>
      <c r="I882" s="56"/>
      <c r="J882" s="89"/>
      <c r="K882" s="89"/>
    </row>
    <row r="883">
      <c r="C883" s="89"/>
      <c r="I883" s="56"/>
      <c r="J883" s="89"/>
      <c r="K883" s="89"/>
    </row>
    <row r="884">
      <c r="C884" s="89"/>
      <c r="I884" s="56"/>
      <c r="J884" s="89"/>
      <c r="K884" s="89"/>
    </row>
    <row r="885">
      <c r="C885" s="89"/>
      <c r="I885" s="56"/>
      <c r="J885" s="89"/>
      <c r="K885" s="89"/>
    </row>
    <row r="886">
      <c r="C886" s="89"/>
      <c r="I886" s="56"/>
      <c r="J886" s="89"/>
      <c r="K886" s="89"/>
    </row>
    <row r="887">
      <c r="C887" s="89"/>
      <c r="I887" s="56"/>
      <c r="J887" s="89"/>
      <c r="K887" s="89"/>
    </row>
    <row r="888">
      <c r="C888" s="89"/>
      <c r="I888" s="56"/>
      <c r="J888" s="89"/>
      <c r="K888" s="89"/>
    </row>
    <row r="889">
      <c r="C889" s="89"/>
      <c r="I889" s="56"/>
      <c r="J889" s="89"/>
      <c r="K889" s="89"/>
    </row>
    <row r="890">
      <c r="C890" s="89"/>
      <c r="I890" s="56"/>
      <c r="J890" s="89"/>
      <c r="K890" s="89"/>
    </row>
    <row r="891">
      <c r="C891" s="89"/>
      <c r="I891" s="56"/>
      <c r="J891" s="89"/>
      <c r="K891" s="89"/>
    </row>
    <row r="892">
      <c r="C892" s="89"/>
      <c r="I892" s="56"/>
      <c r="J892" s="89"/>
      <c r="K892" s="89"/>
    </row>
    <row r="893">
      <c r="C893" s="89"/>
      <c r="I893" s="56"/>
      <c r="J893" s="89"/>
      <c r="K893" s="89"/>
    </row>
    <row r="894">
      <c r="C894" s="89"/>
      <c r="I894" s="56"/>
      <c r="J894" s="89"/>
      <c r="K894" s="89"/>
    </row>
    <row r="895">
      <c r="C895" s="89"/>
      <c r="I895" s="56"/>
      <c r="J895" s="89"/>
      <c r="K895" s="89"/>
    </row>
    <row r="896">
      <c r="C896" s="89"/>
      <c r="I896" s="56"/>
      <c r="J896" s="89"/>
      <c r="K896" s="89"/>
    </row>
    <row r="897">
      <c r="C897" s="89"/>
      <c r="I897" s="56"/>
      <c r="J897" s="89"/>
      <c r="K897" s="89"/>
    </row>
    <row r="898">
      <c r="C898" s="89"/>
      <c r="I898" s="56"/>
      <c r="J898" s="89"/>
      <c r="K898" s="89"/>
    </row>
    <row r="899">
      <c r="C899" s="89"/>
      <c r="I899" s="56"/>
      <c r="J899" s="89"/>
      <c r="K899" s="89"/>
    </row>
    <row r="900">
      <c r="C900" s="89"/>
      <c r="I900" s="56"/>
      <c r="J900" s="89"/>
      <c r="K900" s="89"/>
    </row>
    <row r="901">
      <c r="C901" s="89"/>
      <c r="I901" s="56"/>
      <c r="J901" s="89"/>
      <c r="K901" s="89"/>
    </row>
    <row r="902">
      <c r="C902" s="89"/>
      <c r="I902" s="56"/>
      <c r="J902" s="89"/>
      <c r="K902" s="89"/>
    </row>
    <row r="903">
      <c r="C903" s="89"/>
      <c r="I903" s="56"/>
      <c r="J903" s="89"/>
      <c r="K903" s="89"/>
    </row>
    <row r="904">
      <c r="C904" s="89"/>
      <c r="I904" s="56"/>
      <c r="J904" s="89"/>
      <c r="K904" s="89"/>
    </row>
    <row r="905">
      <c r="C905" s="89"/>
      <c r="I905" s="56"/>
      <c r="J905" s="89"/>
      <c r="K905" s="89"/>
    </row>
    <row r="906">
      <c r="C906" s="89"/>
      <c r="I906" s="56"/>
      <c r="J906" s="89"/>
      <c r="K906" s="89"/>
    </row>
    <row r="907">
      <c r="C907" s="89"/>
      <c r="I907" s="56"/>
      <c r="J907" s="89"/>
      <c r="K907" s="89"/>
    </row>
    <row r="908">
      <c r="C908" s="89"/>
      <c r="I908" s="56"/>
      <c r="J908" s="89"/>
      <c r="K908" s="89"/>
    </row>
    <row r="909">
      <c r="C909" s="89"/>
      <c r="I909" s="56"/>
      <c r="J909" s="89"/>
      <c r="K909" s="89"/>
    </row>
    <row r="910">
      <c r="C910" s="89"/>
      <c r="I910" s="56"/>
      <c r="J910" s="89"/>
      <c r="K910" s="89"/>
    </row>
    <row r="911">
      <c r="C911" s="89"/>
      <c r="I911" s="56"/>
      <c r="J911" s="89"/>
      <c r="K911" s="89"/>
    </row>
    <row r="912">
      <c r="C912" s="89"/>
      <c r="I912" s="56"/>
      <c r="J912" s="89"/>
      <c r="K912" s="89"/>
    </row>
    <row r="913">
      <c r="C913" s="89"/>
      <c r="I913" s="56"/>
      <c r="J913" s="89"/>
      <c r="K913" s="89"/>
    </row>
    <row r="914">
      <c r="C914" s="89"/>
      <c r="I914" s="56"/>
      <c r="J914" s="89"/>
      <c r="K914" s="89"/>
    </row>
    <row r="915">
      <c r="C915" s="89"/>
      <c r="I915" s="56"/>
      <c r="J915" s="89"/>
      <c r="K915" s="89"/>
    </row>
    <row r="916">
      <c r="C916" s="89"/>
      <c r="I916" s="56"/>
      <c r="J916" s="89"/>
      <c r="K916" s="89"/>
    </row>
    <row r="917">
      <c r="C917" s="89"/>
      <c r="I917" s="56"/>
      <c r="J917" s="89"/>
      <c r="K917" s="89"/>
    </row>
    <row r="918">
      <c r="C918" s="89"/>
      <c r="I918" s="56"/>
      <c r="J918" s="89"/>
      <c r="K918" s="89"/>
    </row>
    <row r="919">
      <c r="C919" s="89"/>
      <c r="I919" s="56"/>
      <c r="J919" s="89"/>
      <c r="K919" s="89"/>
    </row>
    <row r="920">
      <c r="C920" s="89"/>
      <c r="I920" s="56"/>
      <c r="J920" s="89"/>
      <c r="K920" s="89"/>
    </row>
    <row r="921">
      <c r="C921" s="89"/>
      <c r="I921" s="56"/>
      <c r="J921" s="89"/>
      <c r="K921" s="89"/>
    </row>
    <row r="922">
      <c r="C922" s="89"/>
      <c r="I922" s="56"/>
      <c r="J922" s="89"/>
      <c r="K922" s="89"/>
    </row>
    <row r="923">
      <c r="C923" s="89"/>
      <c r="I923" s="56"/>
      <c r="J923" s="89"/>
      <c r="K923" s="89"/>
    </row>
    <row r="924">
      <c r="C924" s="89"/>
      <c r="I924" s="56"/>
      <c r="J924" s="89"/>
      <c r="K924" s="89"/>
    </row>
    <row r="925">
      <c r="C925" s="89"/>
      <c r="I925" s="56"/>
      <c r="J925" s="89"/>
      <c r="K925" s="89"/>
    </row>
    <row r="926">
      <c r="C926" s="89"/>
      <c r="I926" s="56"/>
      <c r="J926" s="89"/>
      <c r="K926" s="89"/>
    </row>
    <row r="927">
      <c r="C927" s="89"/>
      <c r="I927" s="56"/>
      <c r="J927" s="89"/>
      <c r="K927" s="89"/>
    </row>
    <row r="928">
      <c r="C928" s="89"/>
      <c r="I928" s="56"/>
      <c r="J928" s="89"/>
      <c r="K928" s="89"/>
    </row>
    <row r="929">
      <c r="C929" s="89"/>
      <c r="I929" s="56"/>
      <c r="J929" s="89"/>
      <c r="K929" s="89"/>
    </row>
    <row r="930">
      <c r="C930" s="89"/>
      <c r="I930" s="56"/>
      <c r="J930" s="89"/>
      <c r="K930" s="89"/>
    </row>
    <row r="931">
      <c r="C931" s="89"/>
      <c r="I931" s="56"/>
      <c r="J931" s="89"/>
      <c r="K931" s="89"/>
    </row>
    <row r="932">
      <c r="C932" s="89"/>
      <c r="I932" s="56"/>
      <c r="J932" s="89"/>
      <c r="K932" s="89"/>
    </row>
    <row r="933">
      <c r="C933" s="89"/>
      <c r="I933" s="56"/>
      <c r="J933" s="89"/>
      <c r="K933" s="89"/>
    </row>
    <row r="934">
      <c r="C934" s="89"/>
      <c r="I934" s="56"/>
      <c r="J934" s="89"/>
      <c r="K934" s="89"/>
    </row>
    <row r="935">
      <c r="C935" s="89"/>
      <c r="I935" s="56"/>
      <c r="J935" s="89"/>
      <c r="K935" s="89"/>
    </row>
    <row r="936">
      <c r="C936" s="89"/>
      <c r="I936" s="56"/>
      <c r="J936" s="89"/>
      <c r="K936" s="89"/>
    </row>
    <row r="937">
      <c r="C937" s="89"/>
      <c r="I937" s="56"/>
      <c r="J937" s="89"/>
      <c r="K937" s="89"/>
    </row>
    <row r="938">
      <c r="C938" s="89"/>
      <c r="I938" s="56"/>
      <c r="J938" s="89"/>
      <c r="K938" s="89"/>
    </row>
    <row r="939">
      <c r="C939" s="89"/>
      <c r="I939" s="56"/>
      <c r="J939" s="89"/>
      <c r="K939" s="89"/>
    </row>
    <row r="940">
      <c r="C940" s="89"/>
      <c r="I940" s="56"/>
      <c r="J940" s="89"/>
      <c r="K940" s="89"/>
    </row>
    <row r="941">
      <c r="C941" s="89"/>
      <c r="I941" s="56"/>
      <c r="J941" s="89"/>
      <c r="K941" s="89"/>
    </row>
    <row r="942">
      <c r="C942" s="89"/>
      <c r="I942" s="56"/>
      <c r="J942" s="89"/>
      <c r="K942" s="89"/>
    </row>
    <row r="943">
      <c r="C943" s="89"/>
      <c r="I943" s="56"/>
      <c r="J943" s="89"/>
      <c r="K943" s="89"/>
    </row>
    <row r="944">
      <c r="C944" s="89"/>
      <c r="I944" s="56"/>
      <c r="J944" s="89"/>
      <c r="K944" s="89"/>
    </row>
    <row r="945">
      <c r="C945" s="89"/>
      <c r="I945" s="56"/>
      <c r="J945" s="89"/>
      <c r="K945" s="89"/>
    </row>
    <row r="946">
      <c r="C946" s="89"/>
      <c r="I946" s="56"/>
      <c r="J946" s="89"/>
      <c r="K946" s="89"/>
    </row>
    <row r="947">
      <c r="C947" s="89"/>
      <c r="I947" s="56"/>
      <c r="J947" s="89"/>
      <c r="K947" s="89"/>
    </row>
    <row r="948">
      <c r="C948" s="89"/>
      <c r="I948" s="56"/>
      <c r="J948" s="89"/>
      <c r="K948" s="89"/>
    </row>
    <row r="949">
      <c r="C949" s="89"/>
      <c r="I949" s="56"/>
      <c r="J949" s="89"/>
      <c r="K949" s="89"/>
    </row>
    <row r="950">
      <c r="C950" s="89"/>
      <c r="I950" s="56"/>
      <c r="J950" s="89"/>
      <c r="K950" s="89"/>
    </row>
    <row r="951">
      <c r="C951" s="89"/>
      <c r="I951" s="56"/>
      <c r="J951" s="89"/>
      <c r="K951" s="89"/>
    </row>
    <row r="952">
      <c r="C952" s="89"/>
      <c r="I952" s="56"/>
      <c r="J952" s="89"/>
      <c r="K952" s="89"/>
    </row>
    <row r="953">
      <c r="C953" s="89"/>
      <c r="I953" s="56"/>
      <c r="J953" s="89"/>
      <c r="K953" s="89"/>
    </row>
    <row r="954">
      <c r="C954" s="89"/>
      <c r="I954" s="56"/>
      <c r="J954" s="89"/>
      <c r="K954" s="89"/>
    </row>
    <row r="955">
      <c r="C955" s="89"/>
      <c r="I955" s="56"/>
      <c r="J955" s="89"/>
      <c r="K955" s="89"/>
    </row>
    <row r="956">
      <c r="C956" s="89"/>
      <c r="I956" s="56"/>
      <c r="J956" s="89"/>
      <c r="K956" s="89"/>
    </row>
    <row r="957">
      <c r="C957" s="89"/>
      <c r="I957" s="56"/>
      <c r="J957" s="89"/>
      <c r="K957" s="89"/>
    </row>
    <row r="958">
      <c r="C958" s="89"/>
      <c r="I958" s="56"/>
      <c r="J958" s="89"/>
      <c r="K958" s="89"/>
    </row>
    <row r="959">
      <c r="C959" s="89"/>
      <c r="I959" s="56"/>
      <c r="J959" s="89"/>
      <c r="K959" s="89"/>
    </row>
    <row r="960">
      <c r="C960" s="89"/>
      <c r="I960" s="56"/>
      <c r="J960" s="89"/>
      <c r="K960" s="89"/>
    </row>
    <row r="961">
      <c r="C961" s="89"/>
      <c r="I961" s="56"/>
      <c r="J961" s="89"/>
      <c r="K961" s="89"/>
    </row>
    <row r="962">
      <c r="C962" s="89"/>
      <c r="I962" s="56"/>
      <c r="J962" s="89"/>
      <c r="K962" s="89"/>
    </row>
    <row r="963">
      <c r="C963" s="89"/>
      <c r="I963" s="56"/>
      <c r="J963" s="89"/>
      <c r="K963" s="89"/>
    </row>
    <row r="964">
      <c r="C964" s="89"/>
      <c r="I964" s="56"/>
      <c r="J964" s="89"/>
      <c r="K964" s="89"/>
    </row>
    <row r="965">
      <c r="C965" s="89"/>
      <c r="I965" s="56"/>
      <c r="J965" s="89"/>
      <c r="K965" s="89"/>
    </row>
    <row r="966">
      <c r="C966" s="89"/>
      <c r="I966" s="56"/>
      <c r="J966" s="89"/>
      <c r="K966" s="89"/>
    </row>
    <row r="967">
      <c r="C967" s="89"/>
      <c r="I967" s="56"/>
      <c r="J967" s="89"/>
      <c r="K967" s="89"/>
    </row>
    <row r="968">
      <c r="C968" s="89"/>
      <c r="I968" s="56"/>
      <c r="J968" s="89"/>
      <c r="K968" s="89"/>
    </row>
    <row r="969">
      <c r="C969" s="89"/>
      <c r="I969" s="56"/>
      <c r="J969" s="89"/>
      <c r="K969" s="89"/>
    </row>
    <row r="970">
      <c r="C970" s="89"/>
      <c r="I970" s="56"/>
      <c r="J970" s="89"/>
      <c r="K970" s="89"/>
    </row>
    <row r="971">
      <c r="C971" s="89"/>
      <c r="I971" s="56"/>
      <c r="J971" s="89"/>
      <c r="K971" s="89"/>
    </row>
    <row r="972">
      <c r="C972" s="89"/>
      <c r="I972" s="56"/>
      <c r="J972" s="89"/>
      <c r="K972" s="89"/>
    </row>
    <row r="973">
      <c r="C973" s="89"/>
      <c r="I973" s="56"/>
      <c r="J973" s="89"/>
      <c r="K973" s="89"/>
    </row>
    <row r="974">
      <c r="C974" s="89"/>
      <c r="I974" s="56"/>
      <c r="J974" s="89"/>
      <c r="K974" s="89"/>
    </row>
    <row r="975">
      <c r="C975" s="89"/>
      <c r="I975" s="56"/>
      <c r="J975" s="89"/>
      <c r="K975" s="89"/>
    </row>
    <row r="976">
      <c r="C976" s="89"/>
      <c r="I976" s="56"/>
      <c r="J976" s="89"/>
      <c r="K976" s="89"/>
    </row>
    <row r="977">
      <c r="C977" s="89"/>
      <c r="I977" s="56"/>
      <c r="J977" s="89"/>
      <c r="K977" s="89"/>
    </row>
    <row r="978">
      <c r="C978" s="89"/>
      <c r="I978" s="56"/>
      <c r="J978" s="89"/>
      <c r="K978" s="89"/>
    </row>
    <row r="979">
      <c r="C979" s="89"/>
      <c r="I979" s="56"/>
      <c r="J979" s="89"/>
      <c r="K979" s="89"/>
    </row>
    <row r="980">
      <c r="C980" s="89"/>
      <c r="I980" s="56"/>
      <c r="J980" s="89"/>
      <c r="K980" s="89"/>
    </row>
    <row r="981">
      <c r="C981" s="89"/>
      <c r="I981" s="56"/>
      <c r="J981" s="89"/>
      <c r="K981" s="89"/>
    </row>
    <row r="982">
      <c r="C982" s="89"/>
      <c r="I982" s="56"/>
      <c r="J982" s="89"/>
      <c r="K982" s="89"/>
    </row>
    <row r="983">
      <c r="C983" s="89"/>
      <c r="I983" s="56"/>
      <c r="J983" s="89"/>
      <c r="K983" s="89"/>
    </row>
    <row r="984">
      <c r="C984" s="89"/>
      <c r="I984" s="56"/>
      <c r="J984" s="89"/>
      <c r="K984" s="89"/>
    </row>
    <row r="985">
      <c r="C985" s="89"/>
      <c r="I985" s="56"/>
      <c r="J985" s="89"/>
      <c r="K985" s="89"/>
    </row>
    <row r="986">
      <c r="C986" s="89"/>
      <c r="I986" s="56"/>
      <c r="J986" s="89"/>
      <c r="K986" s="89"/>
    </row>
    <row r="987">
      <c r="C987" s="89"/>
      <c r="I987" s="56"/>
      <c r="J987" s="89"/>
      <c r="K987" s="89"/>
    </row>
    <row r="988">
      <c r="C988" s="89"/>
      <c r="I988" s="56"/>
      <c r="J988" s="89"/>
      <c r="K988" s="89"/>
    </row>
    <row r="989">
      <c r="C989" s="89"/>
      <c r="I989" s="56"/>
      <c r="J989" s="89"/>
      <c r="K989" s="89"/>
    </row>
    <row r="990">
      <c r="C990" s="89"/>
      <c r="I990" s="56"/>
      <c r="J990" s="89"/>
      <c r="K990" s="89"/>
    </row>
    <row r="991">
      <c r="C991" s="89"/>
      <c r="I991" s="56"/>
      <c r="J991" s="89"/>
      <c r="K991" s="89"/>
    </row>
    <row r="992">
      <c r="C992" s="89"/>
      <c r="I992" s="56"/>
      <c r="J992" s="89"/>
      <c r="K992" s="89"/>
    </row>
    <row r="993">
      <c r="C993" s="89"/>
      <c r="I993" s="56"/>
      <c r="J993" s="89"/>
      <c r="K993" s="89"/>
    </row>
    <row r="994">
      <c r="C994" s="89"/>
      <c r="I994" s="56"/>
      <c r="J994" s="89"/>
      <c r="K994" s="89"/>
    </row>
    <row r="995">
      <c r="C995" s="89"/>
      <c r="I995" s="56"/>
      <c r="J995" s="89"/>
      <c r="K995" s="89"/>
    </row>
    <row r="996">
      <c r="C996" s="89"/>
      <c r="I996" s="56"/>
      <c r="J996" s="89"/>
      <c r="K996" s="89"/>
    </row>
    <row r="997">
      <c r="C997" s="89"/>
      <c r="I997" s="56"/>
      <c r="J997" s="89"/>
      <c r="K997" s="89"/>
    </row>
    <row r="998">
      <c r="C998" s="89"/>
      <c r="I998" s="56"/>
      <c r="J998" s="89"/>
      <c r="K998" s="89"/>
    </row>
    <row r="999">
      <c r="C999" s="89"/>
      <c r="I999" s="56"/>
      <c r="J999" s="89"/>
      <c r="K999" s="89"/>
    </row>
    <row r="1000">
      <c r="C1000" s="89"/>
      <c r="I1000" s="56"/>
      <c r="J1000" s="89"/>
      <c r="K1000" s="89"/>
    </row>
  </sheetData>
  <conditionalFormatting sqref="B32">
    <cfRule type="cellIs" dxfId="0" priority="1" operator="equal">
      <formula>"Void"</formula>
    </cfRule>
  </conditionalFormatting>
  <conditionalFormatting sqref="B32">
    <cfRule type="cellIs" dxfId="1" priority="2" operator="equal">
      <formula>"Divine"</formula>
    </cfRule>
  </conditionalFormatting>
  <conditionalFormatting sqref="B32">
    <cfRule type="cellIs" dxfId="2" priority="3" operator="equal">
      <formula>"Mortal"</formula>
    </cfRule>
  </conditionalFormatting>
  <conditionalFormatting sqref="B32">
    <cfRule type="cellIs" dxfId="3" priority="4" operator="equal">
      <formula>"Elemental"</formula>
    </cfRule>
  </conditionalFormatting>
  <conditionalFormatting sqref="B32">
    <cfRule type="cellIs" dxfId="4" priority="5" operator="equal">
      <formula>"Nature"</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5.0"/>
    <col customWidth="1" min="2" max="2" width="16.0"/>
    <col customWidth="1" min="5" max="5" width="87.14"/>
  </cols>
  <sheetData>
    <row r="1">
      <c r="A1" s="166" t="s">
        <v>0</v>
      </c>
      <c r="B1" s="167" t="s">
        <v>1</v>
      </c>
      <c r="C1" s="160" t="s">
        <v>3</v>
      </c>
      <c r="D1" s="167" t="s">
        <v>1551</v>
      </c>
      <c r="E1" s="167" t="s">
        <v>4</v>
      </c>
      <c r="F1" s="167" t="s">
        <v>6</v>
      </c>
      <c r="G1" s="160" t="s">
        <v>7</v>
      </c>
      <c r="H1" s="160" t="s">
        <v>8</v>
      </c>
      <c r="I1" s="161" t="s">
        <v>9</v>
      </c>
      <c r="J1" s="162" t="s">
        <v>10</v>
      </c>
    </row>
    <row r="2">
      <c r="A2" s="19" t="s">
        <v>1552</v>
      </c>
      <c r="B2" s="168" t="s">
        <v>1553</v>
      </c>
      <c r="C2" s="51" t="s">
        <v>1516</v>
      </c>
      <c r="D2" s="46"/>
      <c r="E2" s="46" t="s">
        <v>1554</v>
      </c>
      <c r="F2" s="49" t="s">
        <v>1555</v>
      </c>
      <c r="G2" s="51">
        <v>1.0</v>
      </c>
      <c r="H2" s="51" t="s">
        <v>49</v>
      </c>
      <c r="I2" s="51" t="s">
        <v>50</v>
      </c>
    </row>
    <row r="3">
      <c r="A3" s="46" t="s">
        <v>1556</v>
      </c>
      <c r="B3" s="168" t="s">
        <v>1553</v>
      </c>
      <c r="C3" s="51" t="s">
        <v>29</v>
      </c>
      <c r="D3" s="46" t="s">
        <v>1557</v>
      </c>
      <c r="E3" s="169" t="s">
        <v>1558</v>
      </c>
      <c r="F3" s="49" t="s">
        <v>1555</v>
      </c>
      <c r="G3" s="51">
        <v>1.0</v>
      </c>
      <c r="H3" s="51" t="s">
        <v>63</v>
      </c>
      <c r="I3" s="51" t="s">
        <v>33</v>
      </c>
    </row>
    <row r="4">
      <c r="A4" s="46" t="s">
        <v>1559</v>
      </c>
      <c r="B4" s="168" t="s">
        <v>1553</v>
      </c>
      <c r="C4" s="51" t="s">
        <v>1560</v>
      </c>
      <c r="D4" s="46" t="s">
        <v>1557</v>
      </c>
      <c r="E4" s="46" t="s">
        <v>1561</v>
      </c>
      <c r="F4" s="49" t="s">
        <v>1555</v>
      </c>
      <c r="G4" s="51">
        <v>3.0</v>
      </c>
      <c r="H4" s="51" t="s">
        <v>56</v>
      </c>
      <c r="I4" s="51" t="s">
        <v>50</v>
      </c>
    </row>
    <row r="5">
      <c r="A5" s="46" t="s">
        <v>1562</v>
      </c>
      <c r="B5" s="170" t="s">
        <v>1553</v>
      </c>
      <c r="C5" s="51" t="s">
        <v>125</v>
      </c>
      <c r="D5" s="46" t="s">
        <v>1563</v>
      </c>
      <c r="E5" s="46" t="s">
        <v>1564</v>
      </c>
      <c r="F5" s="49" t="s">
        <v>1555</v>
      </c>
      <c r="G5" s="51">
        <v>5.0</v>
      </c>
      <c r="H5" s="51" t="s">
        <v>1565</v>
      </c>
      <c r="I5" s="51" t="s">
        <v>33</v>
      </c>
    </row>
    <row r="6">
      <c r="A6" s="58" t="s">
        <v>1566</v>
      </c>
      <c r="B6" s="171" t="s">
        <v>1567</v>
      </c>
      <c r="C6" s="62" t="s">
        <v>317</v>
      </c>
      <c r="D6" s="58"/>
      <c r="E6" s="58" t="s">
        <v>1568</v>
      </c>
      <c r="F6" s="26" t="s">
        <v>1555</v>
      </c>
      <c r="G6" s="62">
        <v>0.0</v>
      </c>
      <c r="H6" s="62" t="s">
        <v>1569</v>
      </c>
      <c r="I6" s="62" t="s">
        <v>33</v>
      </c>
    </row>
    <row r="7">
      <c r="A7" s="46" t="s">
        <v>1570</v>
      </c>
      <c r="B7" s="172" t="s">
        <v>1567</v>
      </c>
      <c r="C7" s="51" t="s">
        <v>1516</v>
      </c>
      <c r="D7" s="46"/>
      <c r="E7" s="46" t="s">
        <v>1571</v>
      </c>
      <c r="F7" s="49" t="s">
        <v>1555</v>
      </c>
      <c r="G7" s="51">
        <v>3.0</v>
      </c>
      <c r="H7" s="51" t="s">
        <v>1572</v>
      </c>
      <c r="I7" s="51" t="s">
        <v>50</v>
      </c>
    </row>
    <row r="8">
      <c r="A8" s="46" t="s">
        <v>1573</v>
      </c>
      <c r="B8" s="172" t="s">
        <v>1567</v>
      </c>
      <c r="C8" s="51" t="s">
        <v>317</v>
      </c>
      <c r="D8" s="46"/>
      <c r="E8" s="46" t="s">
        <v>1574</v>
      </c>
      <c r="F8" s="49" t="s">
        <v>1555</v>
      </c>
      <c r="G8" s="51">
        <v>4.0</v>
      </c>
      <c r="H8" s="51" t="s">
        <v>370</v>
      </c>
      <c r="I8" s="51" t="s">
        <v>42</v>
      </c>
    </row>
    <row r="9">
      <c r="A9" s="46" t="s">
        <v>1575</v>
      </c>
      <c r="B9" s="172" t="s">
        <v>1567</v>
      </c>
      <c r="C9" s="51" t="s">
        <v>1516</v>
      </c>
      <c r="D9" s="46"/>
      <c r="E9" s="46" t="s">
        <v>1576</v>
      </c>
      <c r="F9" s="49" t="s">
        <v>1555</v>
      </c>
      <c r="G9" s="51">
        <v>5.0</v>
      </c>
      <c r="H9" s="51" t="s">
        <v>392</v>
      </c>
      <c r="I9" s="51" t="s">
        <v>33</v>
      </c>
    </row>
    <row r="10">
      <c r="A10" s="46" t="s">
        <v>656</v>
      </c>
      <c r="B10" s="171" t="s">
        <v>1567</v>
      </c>
      <c r="C10" s="62" t="s">
        <v>519</v>
      </c>
      <c r="D10" s="58"/>
      <c r="E10" s="58" t="s">
        <v>1577</v>
      </c>
      <c r="F10" s="26" t="s">
        <v>1555</v>
      </c>
      <c r="G10" s="62">
        <v>6.0</v>
      </c>
      <c r="H10" s="62" t="s">
        <v>1578</v>
      </c>
      <c r="I10" s="62" t="s">
        <v>50</v>
      </c>
    </row>
    <row r="11">
      <c r="A11" s="46"/>
      <c r="B11" s="173" t="s">
        <v>1579</v>
      </c>
      <c r="C11" s="51" t="s">
        <v>519</v>
      </c>
      <c r="D11" s="46"/>
      <c r="E11" s="46" t="s">
        <v>1580</v>
      </c>
      <c r="F11" s="49" t="s">
        <v>1555</v>
      </c>
      <c r="G11" s="51">
        <v>1.0</v>
      </c>
      <c r="H11" s="51" t="s">
        <v>1042</v>
      </c>
      <c r="I11" s="51" t="s">
        <v>33</v>
      </c>
    </row>
    <row r="12">
      <c r="A12" s="46" t="s">
        <v>1581</v>
      </c>
      <c r="B12" s="173" t="s">
        <v>1579</v>
      </c>
      <c r="C12" s="51" t="s">
        <v>519</v>
      </c>
      <c r="D12" s="46"/>
      <c r="E12" s="46" t="s">
        <v>1582</v>
      </c>
      <c r="F12" s="49" t="s">
        <v>1555</v>
      </c>
      <c r="G12" s="51">
        <v>2.0</v>
      </c>
      <c r="H12" s="51" t="s">
        <v>1036</v>
      </c>
      <c r="I12" s="51" t="s">
        <v>33</v>
      </c>
    </row>
    <row r="13">
      <c r="A13" s="46" t="s">
        <v>1583</v>
      </c>
      <c r="B13" s="173" t="s">
        <v>1579</v>
      </c>
      <c r="C13" s="51" t="s">
        <v>1584</v>
      </c>
      <c r="D13" s="46"/>
      <c r="E13" s="174" t="s">
        <v>1585</v>
      </c>
      <c r="F13" s="49" t="s">
        <v>1555</v>
      </c>
      <c r="G13" s="51">
        <v>3.0</v>
      </c>
      <c r="H13" s="51" t="s">
        <v>1042</v>
      </c>
      <c r="I13" s="51" t="s">
        <v>50</v>
      </c>
    </row>
    <row r="14">
      <c r="A14" s="58" t="s">
        <v>1586</v>
      </c>
      <c r="B14" s="175" t="s">
        <v>1579</v>
      </c>
      <c r="C14" s="51" t="s">
        <v>125</v>
      </c>
      <c r="D14" s="46"/>
      <c r="E14" s="46" t="s">
        <v>1587</v>
      </c>
      <c r="F14" s="49" t="s">
        <v>1555</v>
      </c>
      <c r="G14" s="51">
        <v>4.0</v>
      </c>
      <c r="H14" s="51" t="s">
        <v>960</v>
      </c>
      <c r="I14" s="51" t="s">
        <v>42</v>
      </c>
    </row>
    <row r="15">
      <c r="A15" s="46" t="s">
        <v>1588</v>
      </c>
      <c r="B15" s="173" t="s">
        <v>1579</v>
      </c>
      <c r="C15" s="51" t="s">
        <v>902</v>
      </c>
      <c r="D15" s="46"/>
      <c r="E15" s="26" t="s">
        <v>1589</v>
      </c>
      <c r="F15" s="26" t="s">
        <v>1555</v>
      </c>
      <c r="G15" s="51">
        <v>6.0</v>
      </c>
      <c r="H15" s="51" t="s">
        <v>1590</v>
      </c>
      <c r="I15" s="51" t="s">
        <v>50</v>
      </c>
    </row>
    <row r="16">
      <c r="A16" s="19" t="s">
        <v>1591</v>
      </c>
      <c r="B16" s="80" t="s">
        <v>1579</v>
      </c>
      <c r="C16" s="18" t="s">
        <v>1592</v>
      </c>
      <c r="F16" s="19" t="s">
        <v>1555</v>
      </c>
      <c r="G16" s="89"/>
      <c r="I16" s="18" t="s">
        <v>33</v>
      </c>
    </row>
    <row r="17">
      <c r="A17" s="46" t="s">
        <v>942</v>
      </c>
      <c r="B17" s="176" t="s">
        <v>1593</v>
      </c>
      <c r="C17" s="51" t="s">
        <v>44</v>
      </c>
      <c r="D17" s="46"/>
      <c r="E17" s="174" t="s">
        <v>1594</v>
      </c>
      <c r="F17" s="49" t="s">
        <v>1555</v>
      </c>
      <c r="G17" s="51">
        <v>1.0</v>
      </c>
      <c r="H17" s="51" t="s">
        <v>1595</v>
      </c>
      <c r="I17" s="51" t="s">
        <v>50</v>
      </c>
    </row>
    <row r="18">
      <c r="A18" s="46" t="s">
        <v>1596</v>
      </c>
      <c r="B18" s="176" t="s">
        <v>1593</v>
      </c>
      <c r="C18" s="51" t="s">
        <v>1162</v>
      </c>
      <c r="D18" s="46"/>
      <c r="E18" s="46" t="s">
        <v>1597</v>
      </c>
      <c r="F18" s="49" t="s">
        <v>1555</v>
      </c>
      <c r="G18" s="51">
        <v>1.0</v>
      </c>
      <c r="H18" s="51" t="s">
        <v>1598</v>
      </c>
      <c r="I18" s="51" t="s">
        <v>33</v>
      </c>
    </row>
    <row r="19">
      <c r="A19" s="10" t="s">
        <v>1599</v>
      </c>
      <c r="B19" s="45"/>
      <c r="C19" s="18"/>
      <c r="E19" s="19"/>
      <c r="F19" s="19" t="s">
        <v>1555</v>
      </c>
      <c r="G19" s="18"/>
      <c r="H19" s="18"/>
      <c r="I19" s="11"/>
    </row>
    <row r="20">
      <c r="A20" s="29" t="s">
        <v>1600</v>
      </c>
      <c r="B20" s="45" t="s">
        <v>1579</v>
      </c>
      <c r="C20" s="21" t="s">
        <v>302</v>
      </c>
      <c r="D20" s="10"/>
      <c r="E20" s="10" t="s">
        <v>1601</v>
      </c>
      <c r="F20" s="10"/>
      <c r="G20" s="11">
        <v>2.0</v>
      </c>
      <c r="H20" s="11" t="s">
        <v>949</v>
      </c>
      <c r="I20" s="21" t="s">
        <v>42</v>
      </c>
    </row>
    <row r="21">
      <c r="A21" s="19" t="s">
        <v>1602</v>
      </c>
      <c r="B21" s="17" t="s">
        <v>1553</v>
      </c>
      <c r="C21" s="18" t="s">
        <v>29</v>
      </c>
      <c r="D21" s="19" t="s">
        <v>1603</v>
      </c>
      <c r="E21" s="19" t="s">
        <v>1604</v>
      </c>
      <c r="G21" s="18">
        <v>2.0</v>
      </c>
      <c r="I21" s="89"/>
    </row>
    <row r="22">
      <c r="A22" s="19" t="s">
        <v>1605</v>
      </c>
      <c r="B22" s="19" t="s">
        <v>1606</v>
      </c>
      <c r="C22" s="89"/>
      <c r="G22" s="89"/>
      <c r="I22" s="18" t="s">
        <v>50</v>
      </c>
    </row>
    <row r="23">
      <c r="A23" s="19" t="s">
        <v>1607</v>
      </c>
      <c r="B23" s="19" t="s">
        <v>1608</v>
      </c>
      <c r="C23" s="89"/>
      <c r="G23" s="89"/>
      <c r="I23" s="89"/>
    </row>
    <row r="24">
      <c r="A24" s="19" t="s">
        <v>1600</v>
      </c>
      <c r="B24" s="19" t="s">
        <v>1579</v>
      </c>
      <c r="C24" s="18"/>
      <c r="G24" s="18"/>
      <c r="H24" s="18"/>
      <c r="I24" s="18"/>
    </row>
    <row r="25">
      <c r="A25" s="19" t="s">
        <v>1609</v>
      </c>
      <c r="B25" s="80" t="s">
        <v>1579</v>
      </c>
      <c r="C25" s="18" t="s">
        <v>1610</v>
      </c>
      <c r="E25" s="19" t="s">
        <v>1611</v>
      </c>
      <c r="F25" s="19" t="s">
        <v>1178</v>
      </c>
      <c r="G25" s="18">
        <v>0.0</v>
      </c>
      <c r="H25" s="18" t="s">
        <v>1086</v>
      </c>
      <c r="I25" s="18" t="s">
        <v>42</v>
      </c>
    </row>
    <row r="26">
      <c r="A26" s="19" t="s">
        <v>1612</v>
      </c>
    </row>
    <row r="27">
      <c r="C27" s="89"/>
      <c r="E27" s="19" t="s">
        <v>1613</v>
      </c>
    </row>
    <row r="28">
      <c r="E28" s="19" t="s">
        <v>1614</v>
      </c>
    </row>
    <row r="29">
      <c r="E29" s="19" t="s">
        <v>1615</v>
      </c>
    </row>
    <row r="30">
      <c r="E30" s="19" t="s">
        <v>1616</v>
      </c>
    </row>
    <row r="31">
      <c r="E31" s="19" t="s">
        <v>1617</v>
      </c>
    </row>
    <row r="32">
      <c r="E32" s="19" t="s">
        <v>1618</v>
      </c>
    </row>
    <row r="33">
      <c r="E33" s="19" t="s">
        <v>1619</v>
      </c>
    </row>
    <row r="34">
      <c r="E34" s="19" t="s">
        <v>1620</v>
      </c>
    </row>
    <row r="35">
      <c r="A35" s="19" t="s">
        <v>1621</v>
      </c>
      <c r="B35" s="73" t="s">
        <v>1448</v>
      </c>
      <c r="C35" s="11" t="s">
        <v>1622</v>
      </c>
      <c r="D35" s="29"/>
      <c r="E35" s="10" t="s">
        <v>1623</v>
      </c>
      <c r="F35" s="10" t="s">
        <v>494</v>
      </c>
      <c r="G35" s="11">
        <v>2.0</v>
      </c>
      <c r="H35" s="11" t="s">
        <v>790</v>
      </c>
      <c r="I35" s="11" t="s">
        <v>50</v>
      </c>
    </row>
    <row r="36">
      <c r="A36" s="19" t="s">
        <v>1624</v>
      </c>
      <c r="B36" s="72" t="s">
        <v>1448</v>
      </c>
      <c r="C36" s="18" t="s">
        <v>1516</v>
      </c>
      <c r="D36" s="19" t="s">
        <v>40</v>
      </c>
      <c r="F36" s="18">
        <v>2.0</v>
      </c>
      <c r="G36" s="18" t="s">
        <v>752</v>
      </c>
      <c r="H36" s="18" t="s">
        <v>50</v>
      </c>
    </row>
    <row r="37">
      <c r="A37" s="46" t="s">
        <v>942</v>
      </c>
      <c r="B37" s="19" t="s">
        <v>1625</v>
      </c>
      <c r="C37" s="19" t="s">
        <v>44</v>
      </c>
      <c r="D37" s="19" t="s">
        <v>1626</v>
      </c>
      <c r="F37" s="18">
        <v>0.0</v>
      </c>
      <c r="G37" s="18" t="s">
        <v>944</v>
      </c>
      <c r="H37" s="18" t="s">
        <v>50</v>
      </c>
      <c r="I37" s="19" t="s">
        <v>1627</v>
      </c>
    </row>
    <row r="38">
      <c r="E38" s="19" t="s">
        <v>1628</v>
      </c>
    </row>
    <row r="39">
      <c r="E39" s="19" t="s">
        <v>1629</v>
      </c>
    </row>
    <row r="42">
      <c r="D42" s="13" t="s">
        <v>1613</v>
      </c>
    </row>
    <row r="43">
      <c r="D43" s="13" t="s">
        <v>1614</v>
      </c>
    </row>
    <row r="44">
      <c r="D44" s="13" t="s">
        <v>1615</v>
      </c>
    </row>
    <row r="45">
      <c r="D45" s="13" t="s">
        <v>1616</v>
      </c>
    </row>
    <row r="46">
      <c r="D46" s="13" t="s">
        <v>1617</v>
      </c>
    </row>
    <row r="47">
      <c r="D47" s="19" t="s">
        <v>1630</v>
      </c>
    </row>
    <row r="48">
      <c r="D48" s="19" t="s">
        <v>1631</v>
      </c>
    </row>
    <row r="49">
      <c r="D49" s="19" t="s">
        <v>1632</v>
      </c>
    </row>
    <row r="53">
      <c r="D53" s="19" t="s">
        <v>1633</v>
      </c>
    </row>
    <row r="54">
      <c r="D54" s="19" t="s">
        <v>1634</v>
      </c>
    </row>
    <row r="55">
      <c r="D55" s="19" t="s">
        <v>1533</v>
      </c>
    </row>
    <row r="56">
      <c r="A56" s="19" t="s">
        <v>1635</v>
      </c>
      <c r="D56" s="19" t="s">
        <v>1636</v>
      </c>
    </row>
    <row r="57">
      <c r="D57" s="19" t="s">
        <v>1637</v>
      </c>
    </row>
    <row r="58">
      <c r="A58" s="19" t="s">
        <v>1638</v>
      </c>
      <c r="D58" s="19" t="s">
        <v>1639</v>
      </c>
    </row>
    <row r="59">
      <c r="A59" s="19" t="s">
        <v>1546</v>
      </c>
      <c r="D59" s="19" t="s">
        <v>1547</v>
      </c>
    </row>
    <row r="62">
      <c r="D62" s="19" t="s">
        <v>1640</v>
      </c>
    </row>
    <row r="63">
      <c r="D63" s="19" t="s">
        <v>1641</v>
      </c>
    </row>
    <row r="65">
      <c r="D65" s="19" t="s">
        <v>1642</v>
      </c>
    </row>
    <row r="67">
      <c r="D67" s="19" t="s">
        <v>1643</v>
      </c>
    </row>
    <row r="68">
      <c r="D68" s="19" t="s">
        <v>1644</v>
      </c>
    </row>
    <row r="69">
      <c r="B69" s="19" t="s">
        <v>1645</v>
      </c>
    </row>
    <row r="71">
      <c r="D71" s="19" t="s">
        <v>1646</v>
      </c>
    </row>
    <row r="72">
      <c r="A72" s="19" t="s">
        <v>1647</v>
      </c>
      <c r="D72" s="19" t="s">
        <v>1648</v>
      </c>
    </row>
    <row r="73">
      <c r="D73" s="19" t="s">
        <v>1649</v>
      </c>
    </row>
    <row r="74">
      <c r="D74" s="19" t="s">
        <v>1650</v>
      </c>
    </row>
    <row r="75">
      <c r="A75" s="19" t="s">
        <v>1050</v>
      </c>
      <c r="D75" s="19" t="s">
        <v>1651</v>
      </c>
    </row>
    <row r="76">
      <c r="D76" s="19" t="s">
        <v>1652</v>
      </c>
    </row>
    <row r="77">
      <c r="D77" s="19" t="s">
        <v>1653</v>
      </c>
    </row>
    <row r="78">
      <c r="D78" s="19" t="s">
        <v>1654</v>
      </c>
    </row>
    <row r="79">
      <c r="D79" s="19" t="s">
        <v>1655</v>
      </c>
    </row>
    <row r="80">
      <c r="D80" s="19" t="s">
        <v>1656</v>
      </c>
    </row>
    <row r="81">
      <c r="D81" s="19" t="s">
        <v>1657</v>
      </c>
    </row>
    <row r="82">
      <c r="D82" s="19" t="s">
        <v>1658</v>
      </c>
    </row>
    <row r="84">
      <c r="D84" s="19" t="s">
        <v>1659</v>
      </c>
    </row>
    <row r="86">
      <c r="D86" s="19" t="s">
        <v>1660</v>
      </c>
    </row>
    <row r="87">
      <c r="D87" s="19" t="s">
        <v>1661</v>
      </c>
    </row>
    <row r="88">
      <c r="D88" s="19" t="s">
        <v>1662</v>
      </c>
    </row>
    <row r="89">
      <c r="D89" s="19" t="s">
        <v>1663</v>
      </c>
    </row>
    <row r="90">
      <c r="D90" s="19" t="s">
        <v>1664</v>
      </c>
    </row>
    <row r="91">
      <c r="D91" s="19" t="s">
        <v>1665</v>
      </c>
    </row>
    <row r="93">
      <c r="D93" s="19" t="s">
        <v>1666</v>
      </c>
    </row>
    <row r="94">
      <c r="D94" s="19" t="s">
        <v>1667</v>
      </c>
    </row>
    <row r="95">
      <c r="E95" s="19" t="s">
        <v>1668</v>
      </c>
    </row>
    <row r="96">
      <c r="D96" s="19" t="s">
        <v>1669</v>
      </c>
    </row>
    <row r="97">
      <c r="D97" s="19" t="s">
        <v>1670</v>
      </c>
    </row>
    <row r="98">
      <c r="A98" s="19" t="s">
        <v>1671</v>
      </c>
      <c r="D98" s="19" t="s">
        <v>1672</v>
      </c>
    </row>
    <row r="99">
      <c r="D99" s="26" t="s">
        <v>1488</v>
      </c>
    </row>
    <row r="100">
      <c r="D100" s="19" t="s">
        <v>1673</v>
      </c>
    </row>
    <row r="101">
      <c r="A101" s="19" t="s">
        <v>1674</v>
      </c>
      <c r="D101" s="19" t="s">
        <v>1675</v>
      </c>
    </row>
    <row r="102">
      <c r="D102" s="177" t="s">
        <v>1676</v>
      </c>
    </row>
    <row r="103">
      <c r="E103" s="19" t="s">
        <v>1677</v>
      </c>
    </row>
    <row r="104">
      <c r="A104" s="19" t="s">
        <v>1678</v>
      </c>
      <c r="E104" s="19" t="s">
        <v>1679</v>
      </c>
    </row>
    <row r="105">
      <c r="E105" s="19" t="s">
        <v>1680</v>
      </c>
    </row>
    <row r="106">
      <c r="A106" s="29"/>
      <c r="B106" s="19" t="s">
        <v>1681</v>
      </c>
      <c r="D106" s="19" t="s">
        <v>1682</v>
      </c>
      <c r="F106" s="10"/>
      <c r="G106" s="10"/>
      <c r="H106" s="10"/>
      <c r="I106" s="178"/>
      <c r="J106" s="11"/>
      <c r="K106" s="179"/>
      <c r="L106" s="21"/>
    </row>
    <row r="107">
      <c r="A107" s="19" t="s">
        <v>1683</v>
      </c>
      <c r="I107" s="19" t="s">
        <v>33</v>
      </c>
    </row>
  </sheetData>
  <drawing r:id="rId1"/>
</worksheet>
</file>