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BL6PEPF00009BA3\EXCELCNV\4891d177-1bc5-4e4a-b00d-4cbd4424c948\"/>
    </mc:Choice>
  </mc:AlternateContent>
  <xr:revisionPtr revIDLastSave="690" documentId="8_{5BE6C99B-BC92-49C4-B251-E802DDA951DC}" xr6:coauthVersionLast="47" xr6:coauthVersionMax="47" xr10:uidLastSave="{C4B1DDC8-3BAC-4D46-96C1-3BF33F62199D}"/>
  <bookViews>
    <workbookView xWindow="-60" yWindow="-60" windowWidth="15480" windowHeight="11640" activeTab="1" xr2:uid="{840E1F31-EBE8-43B1-A71C-B691D8EAC6F2}"/>
  </bookViews>
  <sheets>
    <sheet name="CBA" sheetId="1" r:id="rId1"/>
    <sheet name="DETAI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J22" i="2"/>
  <c r="J23" i="2" s="1"/>
  <c r="C16" i="2" s="1"/>
  <c r="G11" i="2"/>
  <c r="F11" i="2"/>
  <c r="E5" i="1" s="1"/>
  <c r="E11" i="2"/>
  <c r="D5" i="1" s="1"/>
  <c r="G6" i="2"/>
  <c r="F6" i="2"/>
  <c r="E4" i="1" s="1"/>
  <c r="E6" i="2"/>
  <c r="D4" i="1" s="1"/>
  <c r="E2" i="2"/>
  <c r="D21" i="1"/>
  <c r="D22" i="1"/>
  <c r="E22" i="1" s="1"/>
  <c r="F22" i="1" s="1"/>
  <c r="G22" i="1" s="1"/>
  <c r="G23" i="1"/>
  <c r="F23" i="1"/>
  <c r="F24" i="1"/>
  <c r="E23" i="1"/>
  <c r="D23" i="1"/>
  <c r="G24" i="1"/>
  <c r="E24" i="1"/>
  <c r="D24" i="1"/>
  <c r="H24" i="1" s="1"/>
  <c r="D20" i="1"/>
  <c r="E20" i="1" s="1"/>
  <c r="F20" i="1" s="1"/>
  <c r="G20" i="1" s="1"/>
  <c r="D16" i="1"/>
  <c r="H20" i="1"/>
  <c r="H22" i="1"/>
  <c r="H23" i="1"/>
  <c r="E16" i="1"/>
  <c r="F16" i="1"/>
  <c r="G16" i="1"/>
  <c r="C7" i="1"/>
  <c r="E32" i="2"/>
  <c r="C15" i="1" s="1"/>
  <c r="H15" i="1" s="1"/>
  <c r="E31" i="2"/>
  <c r="C14" i="1" s="1"/>
  <c r="H14" i="1" s="1"/>
  <c r="E33" i="2"/>
  <c r="E28" i="2"/>
  <c r="C11" i="1"/>
  <c r="H11" i="1" s="1"/>
  <c r="E29" i="2"/>
  <c r="C12" i="1" s="1"/>
  <c r="H12" i="1" s="1"/>
  <c r="E30" i="2"/>
  <c r="C13" i="1" s="1"/>
  <c r="H13" i="1" s="1"/>
  <c r="D27" i="2"/>
  <c r="E27" i="2"/>
  <c r="C10" i="1"/>
  <c r="H10" i="1" s="1"/>
  <c r="H16" i="1" s="1"/>
  <c r="C16" i="1"/>
  <c r="C36" i="2" s="1"/>
  <c r="D6" i="1" l="1"/>
  <c r="E16" i="2"/>
  <c r="G4" i="1"/>
  <c r="F4" i="1"/>
  <c r="H4" i="1" s="1"/>
  <c r="G5" i="1"/>
  <c r="F5" i="1"/>
  <c r="H5" i="1" s="1"/>
  <c r="E21" i="1"/>
  <c r="F2" i="2"/>
  <c r="E3" i="1" s="1"/>
  <c r="D3" i="1"/>
  <c r="D19" i="1"/>
  <c r="G19" i="1"/>
  <c r="F19" i="1"/>
  <c r="E19" i="1"/>
  <c r="E25" i="1"/>
  <c r="D25" i="1"/>
  <c r="D27" i="1"/>
  <c r="E27" i="1"/>
  <c r="E6" i="1" l="1"/>
  <c r="F16" i="2"/>
  <c r="D7" i="1"/>
  <c r="D28" i="1" s="1"/>
  <c r="H3" i="1"/>
  <c r="F21" i="1"/>
  <c r="C25" i="1"/>
  <c r="C27" i="1" s="1"/>
  <c r="C28" i="1" s="1"/>
  <c r="C29" i="1" s="1"/>
  <c r="D29" i="1" s="1"/>
  <c r="H19" i="1"/>
  <c r="F6" i="1" l="1"/>
  <c r="F7" i="1" s="1"/>
  <c r="G16" i="2"/>
  <c r="G6" i="1" s="1"/>
  <c r="G7" i="1" s="1"/>
  <c r="H6" i="1"/>
  <c r="H7" i="1" s="1"/>
  <c r="E7" i="1"/>
  <c r="E28" i="1" s="1"/>
  <c r="E29" i="1" s="1"/>
  <c r="G21" i="1"/>
  <c r="F25" i="1"/>
  <c r="F27" i="1" s="1"/>
  <c r="F28" i="1" s="1"/>
  <c r="F29" i="1"/>
  <c r="C32" i="1"/>
  <c r="G25" i="1" l="1"/>
  <c r="G28" i="1" s="1"/>
  <c r="G29" i="1" s="1"/>
  <c r="H21" i="1"/>
  <c r="H25" i="1" s="1"/>
  <c r="H27" i="1" s="1"/>
  <c r="H28" i="1" l="1"/>
  <c r="C31" i="1"/>
</calcChain>
</file>

<file path=xl/sharedStrings.xml><?xml version="1.0" encoding="utf-8"?>
<sst xmlns="http://schemas.openxmlformats.org/spreadsheetml/2006/main" count="109" uniqueCount="86">
  <si>
    <t>Year 1 ($)</t>
  </si>
  <si>
    <t>Year 2 ($)</t>
  </si>
  <si>
    <t>Year 3 ($)</t>
  </si>
  <si>
    <t>Year 4 ($)</t>
  </si>
  <si>
    <t>Year 5 ($)</t>
  </si>
  <si>
    <t>Total</t>
  </si>
  <si>
    <t>Benefits</t>
  </si>
  <si>
    <t>Increased Revenues</t>
  </si>
  <si>
    <t>Decreased Costs</t>
  </si>
  <si>
    <t>Inventory Savings</t>
  </si>
  <si>
    <t>Increased Productivity</t>
  </si>
  <si>
    <t xml:space="preserve">  Total Benefits</t>
  </si>
  <si>
    <t>Development costs</t>
  </si>
  <si>
    <t>Labor: Project Manager</t>
  </si>
  <si>
    <t>Labor: Software Engineer</t>
  </si>
  <si>
    <t>Labor: Business Analyst</t>
  </si>
  <si>
    <t>Labor: Web Designer</t>
  </si>
  <si>
    <t>Labor: Data Analyst</t>
  </si>
  <si>
    <t>Labor: Quality Assurance</t>
  </si>
  <si>
    <t xml:space="preserve">  Total development costs</t>
  </si>
  <si>
    <t>Operational costs</t>
  </si>
  <si>
    <t>Maintenance and updates</t>
  </si>
  <si>
    <t>Hardware Server</t>
  </si>
  <si>
    <t>Hardware Network</t>
  </si>
  <si>
    <t>Labor: Cyber Security Analyst</t>
  </si>
  <si>
    <t>Staffing Training (on going)</t>
  </si>
  <si>
    <t>Misc.</t>
  </si>
  <si>
    <t xml:space="preserve">  Total operational costs</t>
  </si>
  <si>
    <t xml:space="preserve">  Total costs</t>
  </si>
  <si>
    <t xml:space="preserve">  Net benefits</t>
  </si>
  <si>
    <t>Cumulative Net Cash Flow</t>
  </si>
  <si>
    <t>ROI</t>
  </si>
  <si>
    <t>Payback Period</t>
  </si>
  <si>
    <t>years</t>
  </si>
  <si>
    <t>LY Revenue</t>
  </si>
  <si>
    <t>Increase Revenue (%)</t>
  </si>
  <si>
    <t>Total Increase Year 2</t>
  </si>
  <si>
    <t>Year 3</t>
  </si>
  <si>
    <t>potential increase in patient capacity: 0.33 (from time saved)</t>
  </si>
  <si>
    <t>https://hscrc.maryland.gov/Documents/pdr/ar/Disclosure/Hospital%20Financial%20Condition%20Report%20FY%202021.pdf</t>
  </si>
  <si>
    <t>patient retention rates (returning patients)</t>
  </si>
  <si>
    <t>Epic Operational Cost</t>
  </si>
  <si>
    <t>Reduce Operating Cost (%)</t>
  </si>
  <si>
    <t>Year 2</t>
  </si>
  <si>
    <t>Year 4 &amp; 5</t>
  </si>
  <si>
    <t>Reduced Costs</t>
  </si>
  <si>
    <t>Current System Cost: $500,000</t>
  </si>
  <si>
    <t>Implementation of the new system reduces operational cost by 10%</t>
  </si>
  <si>
    <t>costs saving: $500,000 *.10 = $50,000 savings annually</t>
  </si>
  <si>
    <t>Inventory Cost</t>
  </si>
  <si>
    <t>Carrying Cost Savings (%)</t>
  </si>
  <si>
    <t>Year 4 &amp;5</t>
  </si>
  <si>
    <t>Hospital Current Inventory Cost: $500,000</t>
  </si>
  <si>
    <t>https://www.waspbarcode.com/inventory-control/true-costs-of-carrying-inventory</t>
  </si>
  <si>
    <t>Implementation of the new system reduces carrying cost of up to  40%</t>
  </si>
  <si>
    <t>Carrying cost savings: $500,000 *.40 = $200,000 annually</t>
  </si>
  <si>
    <t>Year 1 Saving</t>
  </si>
  <si>
    <t>Annual Pay increase (%)</t>
  </si>
  <si>
    <t>Year 4</t>
  </si>
  <si>
    <t>current consultation time per patient: 30mins</t>
  </si>
  <si>
    <t>estimated consultation time after implementing MICA: 20mins</t>
  </si>
  <si>
    <t>percentage increase = 10/30 = 0.33</t>
  </si>
  <si>
    <t>Hourly wage</t>
  </si>
  <si>
    <t>Time saved per record (min)</t>
  </si>
  <si>
    <t>Annual Records</t>
  </si>
  <si>
    <t>Total Hr. saved (annual)</t>
  </si>
  <si>
    <t>Total savings</t>
  </si>
  <si>
    <t>Development Costs</t>
  </si>
  <si>
    <t>Rate</t>
  </si>
  <si>
    <t>Total # of Hours</t>
  </si>
  <si>
    <t>https://www.glassdoor.com/Salaries/maryland-project-manager-salary-SRCH_IL.0,8_IS3201_KO9,24.htm</t>
  </si>
  <si>
    <t>https://www.glassdoor.com/Salaries/maryland-software-engineer-salary-SRCH_IL.0,8_IS3201_KO9,26.htm</t>
  </si>
  <si>
    <t>https://www.glassdoor.com/Salaries/maryland-business-analyst-salary-SRCH_IL.0,8_IS3201_KO9,25.htm</t>
  </si>
  <si>
    <t>https://www.glassdoor.com/Salaries/maryland-web-designer-salary-SRCH_IL.0,8_IS3201_KO9,21.htm</t>
  </si>
  <si>
    <t>https://www.glassdoor.com/Salaries/maryland-data-analyst-salary-SRCH_IL.0,8_IS3201_KO9,21.htm</t>
  </si>
  <si>
    <t>https://www.glassdoor.com/Salaries/maryland-quality-assurance-salary-SRCH_IL.0,8_IS3201_KO9,26.htm</t>
  </si>
  <si>
    <t>Labor: Documentation</t>
  </si>
  <si>
    <t>https://www.glassdoor.com/Salaries/maryland-documentation-specialist-salary-SRCH_IL.0,8_IS3201_KO9,33.htm</t>
  </si>
  <si>
    <t>Operational Costs</t>
  </si>
  <si>
    <t>https://topflightapps.com/ideas/cost-of-ehr-implementation/#:~:text=On%20average%2C%20healthcare%20organizations%20can,%2420%2C000%20per%20year%20for%20maintenance.</t>
  </si>
  <si>
    <t>inflation rate: 3.8%</t>
  </si>
  <si>
    <t>https://centerbase.com/blog/cost-breakdown-of-cloud-and-on-premise-software/</t>
  </si>
  <si>
    <t>https://www.ehrinpractice.com/ehr-cost-and-budget-guide.html</t>
  </si>
  <si>
    <t>4% annual pay increase</t>
  </si>
  <si>
    <t>https://www.glassdoor.com/Salaries/maryland-cyber-security-analyst-salary-SRCH_IL.0,8_IS3201_KO9,31.htm</t>
  </si>
  <si>
    <t>https://radixweb.com/blog/cost-to-develop-hospital-management-system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</si>
</sst>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</numFmts>
  <fonts count="8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b/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/>
    <xf numFmtId="3" fontId="0" fillId="0" borderId="0" xfId="0" applyNumberFormat="1"/>
    <xf numFmtId="0" fontId="5" fillId="0" borderId="0" xfId="1"/>
    <xf numFmtId="43" fontId="0" fillId="0" borderId="1" xfId="0" applyNumberFormat="1" applyBorder="1" applyAlignment="1">
      <alignment horizontal="right"/>
    </xf>
    <xf numFmtId="43" fontId="1" fillId="0" borderId="1" xfId="0" applyNumberFormat="1" applyFont="1" applyBorder="1" applyAlignment="1">
      <alignment horizontal="right"/>
    </xf>
    <xf numFmtId="164" fontId="4" fillId="0" borderId="0" xfId="0" applyNumberFormat="1" applyFont="1"/>
    <xf numFmtId="164" fontId="0" fillId="0" borderId="0" xfId="0" applyNumberForma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43" fontId="0" fillId="0" borderId="0" xfId="0" applyNumberFormat="1"/>
    <xf numFmtId="0" fontId="7" fillId="0" borderId="0" xfId="1" applyFont="1"/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left"/>
    </xf>
    <xf numFmtId="0" fontId="0" fillId="2" borderId="2" xfId="0" applyFill="1" applyBorder="1" applyAlignment="1"/>
    <xf numFmtId="0" fontId="0" fillId="0" borderId="3" xfId="0" applyBorder="1" applyAlignment="1"/>
    <xf numFmtId="0" fontId="1" fillId="0" borderId="2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pflightapps.com/ideas/cost-of-ehr-implementation/" TargetMode="External"/><Relationship Id="rId13" Type="http://schemas.openxmlformats.org/officeDocument/2006/relationships/hyperlink" Target="https://www.ehrinpractice.com/ehr-cost-and-budget-guide.html" TargetMode="External"/><Relationship Id="rId3" Type="http://schemas.openxmlformats.org/officeDocument/2006/relationships/hyperlink" Target="https://www.glassdoor.com/Salaries/maryland-business-analyst-salary-SRCH_IL.0,8_IS3201_KO9,25.htm" TargetMode="External"/><Relationship Id="rId7" Type="http://schemas.openxmlformats.org/officeDocument/2006/relationships/hyperlink" Target="https://www.glassdoor.com/Salaries/maryland-documentation-specialist-salary-SRCH_IL.0,8_IS3201_KO9,33.htm" TargetMode="External"/><Relationship Id="rId12" Type="http://schemas.openxmlformats.org/officeDocument/2006/relationships/hyperlink" Target="https://www.glassdoor.com/Salaries/maryland-cyber-security-analyst-salary-SRCH_IL.0,8_IS3201_KO9,31.htm" TargetMode="External"/><Relationship Id="rId2" Type="http://schemas.openxmlformats.org/officeDocument/2006/relationships/hyperlink" Target="https://www.glassdoor.com/Salaries/maryland-software-engineer-salary-SRCH_IL.0,8_IS3201_KO9,26.htm" TargetMode="External"/><Relationship Id="rId16" Type="http://schemas.openxmlformats.org/officeDocument/2006/relationships/hyperlink" Target="https://www.waspbarcode.com/inventory-control/true-costs-of-carrying-inventory" TargetMode="External"/><Relationship Id="rId1" Type="http://schemas.openxmlformats.org/officeDocument/2006/relationships/hyperlink" Target="https://www.glassdoor.com/Salaries/maryland-project-manager-salary-SRCH_IL.0,8_IS3201_KO9,24.htm" TargetMode="External"/><Relationship Id="rId6" Type="http://schemas.openxmlformats.org/officeDocument/2006/relationships/hyperlink" Target="https://www.glassdoor.com/Salaries/maryland-quality-assurance-salary-SRCH_IL.0,8_IS3201_KO9,26.htm" TargetMode="External"/><Relationship Id="rId11" Type="http://schemas.openxmlformats.org/officeDocument/2006/relationships/hyperlink" Target="https://radixweb.com/blog/cost-to-develop-hospital-management-system" TargetMode="External"/><Relationship Id="rId5" Type="http://schemas.openxmlformats.org/officeDocument/2006/relationships/hyperlink" Target="https://www.glassdoor.com/Salaries/maryland-data-analyst-salary-SRCH_IL.0,8_IS3201_KO9,21.htm" TargetMode="External"/><Relationship Id="rId15" Type="http://schemas.openxmlformats.org/officeDocument/2006/relationships/hyperlink" Target="https://hscrc.maryland.gov/Documents/pdr/ar/Disclosure/Hospital%20Financial%20Condition%20Report%20FY%202021.pdf" TargetMode="External"/><Relationship Id="rId10" Type="http://schemas.openxmlformats.org/officeDocument/2006/relationships/hyperlink" Target="https://centerbase.com/blog/cost-breakdown-of-cloud-and-on-premise-software/" TargetMode="External"/><Relationship Id="rId4" Type="http://schemas.openxmlformats.org/officeDocument/2006/relationships/hyperlink" Target="https://www.glassdoor.com/Salaries/maryland-web-designer-salary-SRCH_IL.0,8_IS3201_KO9,21.htm" TargetMode="External"/><Relationship Id="rId9" Type="http://schemas.openxmlformats.org/officeDocument/2006/relationships/hyperlink" Target="https://topflightapps.com/ideas/cost-of-ehr-implementation/" TargetMode="External"/><Relationship Id="rId14" Type="http://schemas.openxmlformats.org/officeDocument/2006/relationships/hyperlink" Target="https://hscrc.maryland.gov/Documents/pdr/ar/Disclosure/Hospital%20Financial%20Condition%20Report%20FY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4EC-E653-427D-A5EE-8E611C43E79F}">
  <dimension ref="A1:H32"/>
  <sheetViews>
    <sheetView zoomScale="107" zoomScaleNormal="130" workbookViewId="0">
      <pane ySplit="1" topLeftCell="A2" activePane="bottomLeft" state="frozen"/>
      <selection pane="bottomLeft" activeCell="F24" sqref="F24"/>
    </sheetView>
  </sheetViews>
  <sheetFormatPr defaultRowHeight="12.75"/>
  <cols>
    <col min="1" max="1" width="4.28515625" bestFit="1" customWidth="1"/>
    <col min="2" max="2" width="26.28515625" style="11" bestFit="1" customWidth="1"/>
    <col min="3" max="7" width="13.42578125" style="2" bestFit="1" customWidth="1"/>
    <col min="8" max="8" width="14.140625" style="2" bestFit="1" customWidth="1"/>
  </cols>
  <sheetData>
    <row r="1" spans="1:8">
      <c r="A1" s="31"/>
      <c r="B1" s="32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>
      <c r="A2" s="33" t="s">
        <v>6</v>
      </c>
      <c r="B2" s="32"/>
      <c r="C2" s="4"/>
      <c r="D2" s="4"/>
      <c r="E2" s="4"/>
      <c r="F2" s="4"/>
      <c r="G2" s="4"/>
      <c r="H2" s="4"/>
    </row>
    <row r="3" spans="1:8">
      <c r="A3" s="5">
        <v>101</v>
      </c>
      <c r="B3" s="12" t="s">
        <v>7</v>
      </c>
      <c r="C3" s="18">
        <v>0</v>
      </c>
      <c r="D3" s="18">
        <f>DETAILS!E2</f>
        <v>266000</v>
      </c>
      <c r="E3" s="18">
        <f>DETAILS!F2</f>
        <v>353780</v>
      </c>
      <c r="F3" s="18">
        <v>0</v>
      </c>
      <c r="G3" s="18">
        <v>0</v>
      </c>
      <c r="H3" s="18">
        <f>SUM(C3:G3)</f>
        <v>619780</v>
      </c>
    </row>
    <row r="4" spans="1:8">
      <c r="A4" s="5">
        <v>102</v>
      </c>
      <c r="B4" s="12" t="s">
        <v>8</v>
      </c>
      <c r="C4" s="18">
        <v>0</v>
      </c>
      <c r="D4" s="18">
        <f>DETAILS!E6</f>
        <v>50000</v>
      </c>
      <c r="E4" s="18">
        <f>DETAILS!F6</f>
        <v>50000</v>
      </c>
      <c r="F4" s="18">
        <f>DETAILS!G6</f>
        <v>50000</v>
      </c>
      <c r="G4" s="18">
        <f>DETAILS!G6</f>
        <v>50000</v>
      </c>
      <c r="H4" s="18">
        <f t="shared" ref="H4:H6" si="0">SUM(C4:G4)</f>
        <v>200000</v>
      </c>
    </row>
    <row r="5" spans="1:8">
      <c r="A5" s="5">
        <v>103</v>
      </c>
      <c r="B5" s="12" t="s">
        <v>9</v>
      </c>
      <c r="C5" s="18">
        <v>0</v>
      </c>
      <c r="D5" s="18">
        <f>DETAILS!E11</f>
        <v>200000</v>
      </c>
      <c r="E5" s="18">
        <f>DETAILS!F11</f>
        <v>200000</v>
      </c>
      <c r="F5" s="18">
        <f>DETAILS!G11</f>
        <v>200000</v>
      </c>
      <c r="G5" s="18">
        <f>DETAILS!G11</f>
        <v>200000</v>
      </c>
      <c r="H5" s="18">
        <f t="shared" si="0"/>
        <v>800000</v>
      </c>
    </row>
    <row r="6" spans="1:8">
      <c r="A6" s="5">
        <v>104</v>
      </c>
      <c r="B6" s="12" t="s">
        <v>10</v>
      </c>
      <c r="C6" s="18">
        <v>0</v>
      </c>
      <c r="D6" s="18">
        <f>DETAILS!C16</f>
        <v>183900</v>
      </c>
      <c r="E6" s="18">
        <f>DETAILS!E16</f>
        <v>191256</v>
      </c>
      <c r="F6" s="18">
        <f>DETAILS!F16</f>
        <v>198906.23999999999</v>
      </c>
      <c r="G6" s="18">
        <f>DETAILS!G16</f>
        <v>206862.4896</v>
      </c>
      <c r="H6" s="18">
        <f t="shared" si="0"/>
        <v>780924.72959999996</v>
      </c>
    </row>
    <row r="7" spans="1:8">
      <c r="A7" s="5"/>
      <c r="B7" s="9" t="s">
        <v>11</v>
      </c>
      <c r="C7" s="19">
        <f>SUM(C3:C6)</f>
        <v>0</v>
      </c>
      <c r="D7" s="19">
        <f>SUM(D3:D6)</f>
        <v>699900</v>
      </c>
      <c r="E7" s="19">
        <f>SUM(E3:E6)</f>
        <v>795036</v>
      </c>
      <c r="F7" s="19">
        <f>SUM(F3:F6)</f>
        <v>448906.23999999999</v>
      </c>
      <c r="G7" s="19">
        <f>SUM(G3:G6)</f>
        <v>456862.48959999997</v>
      </c>
      <c r="H7" s="19">
        <f>SUM(H3:H6)</f>
        <v>2400704.7296000002</v>
      </c>
    </row>
    <row r="8" spans="1:8">
      <c r="A8" s="5"/>
      <c r="B8" s="8"/>
      <c r="C8" s="18"/>
      <c r="D8" s="18"/>
      <c r="E8" s="18"/>
      <c r="F8" s="18"/>
      <c r="G8" s="18"/>
      <c r="H8" s="18"/>
    </row>
    <row r="9" spans="1:8">
      <c r="A9" s="33" t="s">
        <v>12</v>
      </c>
      <c r="B9" s="32"/>
      <c r="C9" s="18"/>
      <c r="D9" s="18"/>
      <c r="E9" s="18"/>
      <c r="F9" s="18"/>
      <c r="G9" s="18"/>
      <c r="H9" s="18"/>
    </row>
    <row r="10" spans="1:8">
      <c r="A10" s="5">
        <v>201</v>
      </c>
      <c r="B10" s="12" t="s">
        <v>13</v>
      </c>
      <c r="C10" s="18">
        <f>DETAILS!E27</f>
        <v>98800</v>
      </c>
      <c r="D10" s="18">
        <v>0</v>
      </c>
      <c r="E10" s="18">
        <v>0</v>
      </c>
      <c r="F10" s="18">
        <v>0</v>
      </c>
      <c r="G10" s="18">
        <v>0</v>
      </c>
      <c r="H10" s="18">
        <f>SUM(C10:G10)</f>
        <v>98800</v>
      </c>
    </row>
    <row r="11" spans="1:8">
      <c r="A11" s="5">
        <v>202</v>
      </c>
      <c r="B11" s="13" t="s">
        <v>14</v>
      </c>
      <c r="C11" s="18">
        <f>DETAILS!E28</f>
        <v>150000</v>
      </c>
      <c r="D11" s="18">
        <v>0</v>
      </c>
      <c r="E11" s="18">
        <v>0</v>
      </c>
      <c r="F11" s="18">
        <v>0</v>
      </c>
      <c r="G11" s="18">
        <v>0</v>
      </c>
      <c r="H11" s="18">
        <f t="shared" ref="H11:H15" si="1">SUM(C11:G11)</f>
        <v>150000</v>
      </c>
    </row>
    <row r="12" spans="1:8">
      <c r="A12" s="5">
        <v>203</v>
      </c>
      <c r="B12" s="13" t="s">
        <v>15</v>
      </c>
      <c r="C12" s="18">
        <f>DETAILS!E29</f>
        <v>62500</v>
      </c>
      <c r="D12" s="18">
        <v>0</v>
      </c>
      <c r="E12" s="18">
        <v>0</v>
      </c>
      <c r="F12" s="18">
        <v>0</v>
      </c>
      <c r="G12" s="18">
        <v>0</v>
      </c>
      <c r="H12" s="18">
        <f t="shared" si="1"/>
        <v>62500</v>
      </c>
    </row>
    <row r="13" spans="1:8">
      <c r="A13" s="5">
        <v>204</v>
      </c>
      <c r="B13" s="12" t="s">
        <v>16</v>
      </c>
      <c r="C13" s="18">
        <f>DETAILS!E30</f>
        <v>20000</v>
      </c>
      <c r="D13" s="18">
        <v>0</v>
      </c>
      <c r="E13" s="18">
        <v>0</v>
      </c>
      <c r="F13" s="18">
        <v>0</v>
      </c>
      <c r="G13" s="18">
        <v>0</v>
      </c>
      <c r="H13" s="18">
        <f t="shared" si="1"/>
        <v>20000</v>
      </c>
    </row>
    <row r="14" spans="1:8">
      <c r="A14" s="5">
        <v>205</v>
      </c>
      <c r="B14" s="13" t="s">
        <v>17</v>
      </c>
      <c r="C14" s="18">
        <f>DETAILS!E31</f>
        <v>40000</v>
      </c>
      <c r="D14" s="18">
        <v>0</v>
      </c>
      <c r="E14" s="18">
        <v>0</v>
      </c>
      <c r="F14" s="18">
        <v>0</v>
      </c>
      <c r="G14" s="18">
        <v>0</v>
      </c>
      <c r="H14" s="18">
        <f t="shared" si="1"/>
        <v>40000</v>
      </c>
    </row>
    <row r="15" spans="1:8">
      <c r="A15" s="5">
        <v>206</v>
      </c>
      <c r="B15" s="12" t="s">
        <v>18</v>
      </c>
      <c r="C15" s="18">
        <f>DETAILS!E32</f>
        <v>33000</v>
      </c>
      <c r="D15" s="18">
        <v>0</v>
      </c>
      <c r="E15" s="18">
        <v>0</v>
      </c>
      <c r="F15" s="18">
        <v>0</v>
      </c>
      <c r="G15" s="18">
        <v>0</v>
      </c>
      <c r="H15" s="18">
        <f t="shared" si="1"/>
        <v>33000</v>
      </c>
    </row>
    <row r="16" spans="1:8">
      <c r="A16" s="5"/>
      <c r="B16" s="9" t="s">
        <v>19</v>
      </c>
      <c r="C16" s="19">
        <f>SUM(C10:C15)</f>
        <v>404300</v>
      </c>
      <c r="D16" s="19">
        <f>SUM(D10:D15)</f>
        <v>0</v>
      </c>
      <c r="E16" s="19">
        <f>SUM(E10:E15)</f>
        <v>0</v>
      </c>
      <c r="F16" s="19">
        <f>SUM(F10:F15)</f>
        <v>0</v>
      </c>
      <c r="G16" s="19">
        <f>SUM(G10:G15)</f>
        <v>0</v>
      </c>
      <c r="H16" s="19">
        <f>SUM(H10:H15)</f>
        <v>404300</v>
      </c>
    </row>
    <row r="17" spans="1:8">
      <c r="A17" s="5"/>
      <c r="B17" s="8"/>
      <c r="C17" s="18"/>
      <c r="D17" s="18"/>
      <c r="E17" s="18"/>
      <c r="F17" s="18"/>
      <c r="G17" s="18"/>
      <c r="H17" s="18"/>
    </row>
    <row r="18" spans="1:8">
      <c r="A18" s="33" t="s">
        <v>20</v>
      </c>
      <c r="B18" s="32"/>
      <c r="C18" s="18"/>
      <c r="D18" s="18"/>
      <c r="E18" s="18"/>
      <c r="F18" s="18"/>
      <c r="G18" s="18"/>
      <c r="H18" s="18"/>
    </row>
    <row r="19" spans="1:8">
      <c r="A19" s="7">
        <v>301</v>
      </c>
      <c r="B19" s="14" t="s">
        <v>21</v>
      </c>
      <c r="C19" s="18">
        <v>0</v>
      </c>
      <c r="D19" s="18">
        <f>DETAILS!C36</f>
        <v>80860</v>
      </c>
      <c r="E19" s="18">
        <f>DETAILS!C36</f>
        <v>80860</v>
      </c>
      <c r="F19" s="18">
        <f>DETAILS!C36</f>
        <v>80860</v>
      </c>
      <c r="G19" s="18">
        <f>DETAILS!C36</f>
        <v>80860</v>
      </c>
      <c r="H19" s="18">
        <f>SUM(C19:G19)</f>
        <v>323440</v>
      </c>
    </row>
    <row r="20" spans="1:8">
      <c r="A20" s="5">
        <v>304</v>
      </c>
      <c r="B20" s="13" t="s">
        <v>22</v>
      </c>
      <c r="C20" s="18">
        <v>0</v>
      </c>
      <c r="D20" s="18">
        <f>DETAILS!C37</f>
        <v>30000</v>
      </c>
      <c r="E20" s="18">
        <f>D20+(D20*0.038)</f>
        <v>31140</v>
      </c>
      <c r="F20" s="18">
        <f t="shared" ref="F20:G20" si="2">E20+(E20*0.038)</f>
        <v>32323.32</v>
      </c>
      <c r="G20" s="18">
        <f t="shared" si="2"/>
        <v>33551.606160000003</v>
      </c>
      <c r="H20" s="18">
        <f t="shared" ref="H20:H23" si="3">SUM(C20:G20)</f>
        <v>127014.92616</v>
      </c>
    </row>
    <row r="21" spans="1:8">
      <c r="A21" s="5">
        <v>305</v>
      </c>
      <c r="B21" s="13" t="s">
        <v>23</v>
      </c>
      <c r="C21" s="18">
        <v>0</v>
      </c>
      <c r="D21" s="18">
        <f>DETAILS!C38</f>
        <v>33000</v>
      </c>
      <c r="E21" s="18">
        <f>D21+(D21*0.038)</f>
        <v>34254</v>
      </c>
      <c r="F21" s="18">
        <f t="shared" ref="F21:H21" si="4">E21+(E21*0.038)</f>
        <v>35555.652000000002</v>
      </c>
      <c r="G21" s="18">
        <f t="shared" si="4"/>
        <v>36906.766776000004</v>
      </c>
      <c r="H21" s="18">
        <f>SUM(D21:G21)</f>
        <v>139716.41877600001</v>
      </c>
    </row>
    <row r="22" spans="1:8">
      <c r="A22" s="5">
        <v>306</v>
      </c>
      <c r="B22" s="13" t="s">
        <v>24</v>
      </c>
      <c r="C22" s="18">
        <v>0</v>
      </c>
      <c r="D22" s="18">
        <f>DETAILS!C39</f>
        <v>134000</v>
      </c>
      <c r="E22" s="18">
        <f>D22+(D22*0.04)</f>
        <v>139360</v>
      </c>
      <c r="F22" s="18">
        <f t="shared" ref="F22:G22" si="5">E22+(E22*0.04)</f>
        <v>144934.39999999999</v>
      </c>
      <c r="G22" s="18">
        <f t="shared" si="5"/>
        <v>150731.77599999998</v>
      </c>
      <c r="H22" s="18">
        <f t="shared" si="3"/>
        <v>569026.17599999998</v>
      </c>
    </row>
    <row r="23" spans="1:8">
      <c r="A23" s="5">
        <v>307</v>
      </c>
      <c r="B23" s="13" t="s">
        <v>25</v>
      </c>
      <c r="C23" s="18">
        <v>0</v>
      </c>
      <c r="D23" s="18">
        <f>DETAILS!C40</f>
        <v>30000</v>
      </c>
      <c r="E23" s="18">
        <f>DETAILS!D40</f>
        <v>10000</v>
      </c>
      <c r="F23" s="18">
        <f>DETAILS!D40</f>
        <v>10000</v>
      </c>
      <c r="G23" s="18">
        <f>DETAILS!D40</f>
        <v>10000</v>
      </c>
      <c r="H23" s="18">
        <f t="shared" si="3"/>
        <v>60000</v>
      </c>
    </row>
    <row r="24" spans="1:8">
      <c r="A24" s="5">
        <v>308</v>
      </c>
      <c r="B24" s="13" t="s">
        <v>26</v>
      </c>
      <c r="C24" s="18">
        <v>0</v>
      </c>
      <c r="D24" s="18">
        <f>DETAILS!C41</f>
        <v>10000</v>
      </c>
      <c r="E24" s="18">
        <f>DETAILS!C41</f>
        <v>10000</v>
      </c>
      <c r="F24" s="18">
        <f>DETAILS!D40</f>
        <v>10000</v>
      </c>
      <c r="G24" s="18">
        <f>DETAILS!C41</f>
        <v>10000</v>
      </c>
      <c r="H24" s="18">
        <f>SUM(D24:G24)</f>
        <v>40000</v>
      </c>
    </row>
    <row r="25" spans="1:8">
      <c r="A25" s="5"/>
      <c r="B25" s="9" t="s">
        <v>27</v>
      </c>
      <c r="C25" s="19">
        <f>SUM(C19:C23)</f>
        <v>0</v>
      </c>
      <c r="D25" s="19">
        <f>SUM(D19:D23)</f>
        <v>307860</v>
      </c>
      <c r="E25" s="19">
        <f>SUM(E19:E23)</f>
        <v>295614</v>
      </c>
      <c r="F25" s="19">
        <f>SUM(F19:F23)</f>
        <v>303673.37199999997</v>
      </c>
      <c r="G25" s="19">
        <f>SUM(G19:G23)</f>
        <v>312050.14893599995</v>
      </c>
      <c r="H25" s="19">
        <f>SUM(H19:H23)</f>
        <v>1219197.5209360002</v>
      </c>
    </row>
    <row r="26" spans="1:8">
      <c r="A26" s="5"/>
      <c r="B26" s="8"/>
      <c r="C26" s="18"/>
      <c r="D26" s="18"/>
      <c r="E26" s="18"/>
      <c r="F26" s="18"/>
      <c r="G26" s="18"/>
      <c r="H26" s="18"/>
    </row>
    <row r="27" spans="1:8">
      <c r="A27" s="3">
        <v>401</v>
      </c>
      <c r="B27" s="9" t="s">
        <v>28</v>
      </c>
      <c r="C27" s="19">
        <f>SUM(C16,C25)</f>
        <v>404300</v>
      </c>
      <c r="D27" s="19">
        <f>SUM(D16,D25)</f>
        <v>307860</v>
      </c>
      <c r="E27" s="19">
        <f>SUM(E16,E25)</f>
        <v>295614</v>
      </c>
      <c r="F27" s="19">
        <f>SUM(F16,F25)</f>
        <v>303673.37199999997</v>
      </c>
      <c r="G27" s="19">
        <f>SUM(G16,G25)</f>
        <v>312050.14893599995</v>
      </c>
      <c r="H27" s="19">
        <f>SUM(H16,H25)</f>
        <v>1623497.5209360002</v>
      </c>
    </row>
    <row r="28" spans="1:8">
      <c r="A28" s="3">
        <v>402</v>
      </c>
      <c r="B28" s="9" t="s">
        <v>29</v>
      </c>
      <c r="C28" s="19">
        <f>C7-C27</f>
        <v>-404300</v>
      </c>
      <c r="D28" s="19">
        <f>D7-D27</f>
        <v>392040</v>
      </c>
      <c r="E28" s="19">
        <f>E7-E27</f>
        <v>499422</v>
      </c>
      <c r="F28" s="19">
        <f>F7-F27</f>
        <v>145232.86800000002</v>
      </c>
      <c r="G28" s="19">
        <f>G7-G27</f>
        <v>144812.34066400002</v>
      </c>
      <c r="H28" s="19">
        <f>H7-H27</f>
        <v>777207.20866400003</v>
      </c>
    </row>
    <row r="29" spans="1:8">
      <c r="A29" s="3">
        <v>403</v>
      </c>
      <c r="B29" s="9" t="s">
        <v>30</v>
      </c>
      <c r="C29" s="19">
        <f>C28</f>
        <v>-404300</v>
      </c>
      <c r="D29" s="19">
        <f>SUM(C29+D28)</f>
        <v>-12260</v>
      </c>
      <c r="E29" s="19">
        <f>SUM(D29+E28)</f>
        <v>487162</v>
      </c>
      <c r="F29" s="19">
        <f>SUM(E29+F28)</f>
        <v>632394.86800000002</v>
      </c>
      <c r="G29" s="19">
        <f>SUM(F29+G28)</f>
        <v>777207.20866400003</v>
      </c>
      <c r="H29" s="19"/>
    </row>
    <row r="30" spans="1:8">
      <c r="B30" s="10"/>
      <c r="C30" s="1"/>
      <c r="D30" s="1"/>
      <c r="E30" s="1"/>
      <c r="F30" s="1"/>
      <c r="G30" s="1"/>
      <c r="H30" s="1"/>
    </row>
    <row r="31" spans="1:8">
      <c r="B31" s="24" t="s">
        <v>31</v>
      </c>
      <c r="C31" s="22">
        <f>(H7-H27)/H27</f>
        <v>0.47872398857493437</v>
      </c>
    </row>
    <row r="32" spans="1:8">
      <c r="B32" s="24" t="s">
        <v>32</v>
      </c>
      <c r="C32" s="23">
        <f>2+((E28-E29)/E28)</f>
        <v>2.024548377924881</v>
      </c>
      <c r="D32" s="25" t="s">
        <v>33</v>
      </c>
    </row>
  </sheetData>
  <mergeCells count="4">
    <mergeCell ref="A2:B2"/>
    <mergeCell ref="A9:B9"/>
    <mergeCell ref="A18:B18"/>
    <mergeCell ref="A1:B1"/>
  </mergeCells>
  <phoneticPr fontId="2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57A1-5EF0-499E-8C35-086DD21D8D2C}">
  <dimension ref="A1:J45"/>
  <sheetViews>
    <sheetView tabSelected="1" workbookViewId="0">
      <selection activeCell="F27" sqref="F27"/>
    </sheetView>
  </sheetViews>
  <sheetFormatPr defaultRowHeight="12.75"/>
  <cols>
    <col min="1" max="1" width="4.28515625" bestFit="1" customWidth="1"/>
    <col min="2" max="2" width="22.5703125" bestFit="1" customWidth="1"/>
    <col min="3" max="3" width="19.42578125" bestFit="1" customWidth="1"/>
    <col min="4" max="4" width="14.42578125" bestFit="1" customWidth="1"/>
    <col min="5" max="5" width="19.140625" bestFit="1" customWidth="1"/>
    <col min="6" max="8" width="12.5703125" bestFit="1" customWidth="1"/>
    <col min="9" max="9" width="53" bestFit="1" customWidth="1"/>
    <col min="10" max="10" width="128" bestFit="1" customWidth="1"/>
  </cols>
  <sheetData>
    <row r="1" spans="1:10">
      <c r="C1" t="s">
        <v>34</v>
      </c>
      <c r="D1" t="s">
        <v>35</v>
      </c>
      <c r="E1" t="s">
        <v>36</v>
      </c>
      <c r="F1" t="s">
        <v>37</v>
      </c>
    </row>
    <row r="2" spans="1:10">
      <c r="A2" s="5">
        <v>101</v>
      </c>
      <c r="B2" s="12" t="s">
        <v>7</v>
      </c>
      <c r="C2" s="20">
        <v>200000</v>
      </c>
      <c r="D2" s="15">
        <v>0.33</v>
      </c>
      <c r="E2" s="20">
        <f>C2*(1+D2)</f>
        <v>266000</v>
      </c>
      <c r="F2" s="20">
        <f>E2*(1+D2)</f>
        <v>353780</v>
      </c>
      <c r="I2" t="s">
        <v>38</v>
      </c>
      <c r="J2" s="17" t="s">
        <v>39</v>
      </c>
    </row>
    <row r="3" spans="1:10">
      <c r="I3" t="s">
        <v>40</v>
      </c>
    </row>
    <row r="5" spans="1:10">
      <c r="C5" t="s">
        <v>41</v>
      </c>
      <c r="D5" t="s">
        <v>42</v>
      </c>
      <c r="E5" t="s">
        <v>43</v>
      </c>
      <c r="F5" t="s">
        <v>37</v>
      </c>
      <c r="G5" t="s">
        <v>44</v>
      </c>
    </row>
    <row r="6" spans="1:10">
      <c r="A6" s="5">
        <v>102</v>
      </c>
      <c r="B6" s="12" t="s">
        <v>45</v>
      </c>
      <c r="C6" s="29">
        <v>500000</v>
      </c>
      <c r="D6">
        <v>0.1</v>
      </c>
      <c r="E6" s="20">
        <f>C6*D6</f>
        <v>50000</v>
      </c>
      <c r="F6" s="20">
        <f>C6*D6</f>
        <v>50000</v>
      </c>
      <c r="G6" s="20">
        <f>C6*D6</f>
        <v>50000</v>
      </c>
      <c r="I6" t="s">
        <v>46</v>
      </c>
      <c r="J6" s="17" t="s">
        <v>39</v>
      </c>
    </row>
    <row r="7" spans="1:10">
      <c r="I7" t="s">
        <v>47</v>
      </c>
      <c r="J7" s="17"/>
    </row>
    <row r="8" spans="1:10">
      <c r="I8" t="s">
        <v>48</v>
      </c>
    </row>
    <row r="10" spans="1:10">
      <c r="C10" t="s">
        <v>49</v>
      </c>
      <c r="D10" t="s">
        <v>50</v>
      </c>
      <c r="E10" t="s">
        <v>43</v>
      </c>
      <c r="F10" t="s">
        <v>37</v>
      </c>
      <c r="G10" t="s">
        <v>51</v>
      </c>
    </row>
    <row r="11" spans="1:10">
      <c r="A11" s="5">
        <v>103</v>
      </c>
      <c r="B11" s="12" t="s">
        <v>9</v>
      </c>
      <c r="C11" s="21">
        <v>500000</v>
      </c>
      <c r="D11">
        <v>0.4</v>
      </c>
      <c r="E11" s="20">
        <f>C11*D11</f>
        <v>200000</v>
      </c>
      <c r="F11" s="20">
        <f>C11*D11</f>
        <v>200000</v>
      </c>
      <c r="G11" s="21">
        <f>C11*D11</f>
        <v>200000</v>
      </c>
      <c r="I11" t="s">
        <v>52</v>
      </c>
      <c r="J11" s="17" t="s">
        <v>53</v>
      </c>
    </row>
    <row r="12" spans="1:10">
      <c r="B12" s="25"/>
      <c r="C12" s="21"/>
      <c r="E12" s="20"/>
      <c r="F12" s="20"/>
      <c r="G12" s="21"/>
      <c r="I12" t="s">
        <v>54</v>
      </c>
      <c r="J12" s="17"/>
    </row>
    <row r="13" spans="1:10">
      <c r="B13" s="25"/>
      <c r="C13" s="21"/>
      <c r="E13" s="20"/>
      <c r="F13" s="20"/>
      <c r="G13" s="21"/>
      <c r="I13" t="s">
        <v>55</v>
      </c>
      <c r="J13" s="17"/>
    </row>
    <row r="14" spans="1:10">
      <c r="J14" s="17"/>
    </row>
    <row r="15" spans="1:10">
      <c r="C15" t="s">
        <v>56</v>
      </c>
      <c r="D15" t="s">
        <v>57</v>
      </c>
      <c r="E15" t="s">
        <v>43</v>
      </c>
      <c r="F15" t="s">
        <v>37</v>
      </c>
      <c r="G15" t="s">
        <v>58</v>
      </c>
    </row>
    <row r="16" spans="1:10">
      <c r="A16" s="5">
        <v>104</v>
      </c>
      <c r="B16" s="12" t="s">
        <v>10</v>
      </c>
      <c r="C16" s="21">
        <f>J23</f>
        <v>183900</v>
      </c>
      <c r="D16">
        <v>0.04</v>
      </c>
      <c r="E16" s="20">
        <f>C16+(C16*D16)</f>
        <v>191256</v>
      </c>
      <c r="F16" s="20">
        <f>E16+(E16*D16)</f>
        <v>198906.23999999999</v>
      </c>
      <c r="G16" s="21">
        <f>F16+(F16*D16)</f>
        <v>206862.4896</v>
      </c>
      <c r="H16" s="21"/>
      <c r="I16" t="s">
        <v>59</v>
      </c>
    </row>
    <row r="17" spans="1:10">
      <c r="I17" t="s">
        <v>60</v>
      </c>
    </row>
    <row r="18" spans="1:10">
      <c r="I18" t="s">
        <v>61</v>
      </c>
    </row>
    <row r="19" spans="1:10">
      <c r="I19" s="2" t="s">
        <v>62</v>
      </c>
      <c r="J19" s="30">
        <v>73.56</v>
      </c>
    </row>
    <row r="20" spans="1:10">
      <c r="I20" s="2" t="s">
        <v>63</v>
      </c>
      <c r="J20" s="25">
        <v>10</v>
      </c>
    </row>
    <row r="21" spans="1:10">
      <c r="I21" s="2" t="s">
        <v>64</v>
      </c>
      <c r="J21" s="25">
        <v>15000</v>
      </c>
    </row>
    <row r="22" spans="1:10">
      <c r="I22" s="2" t="s">
        <v>65</v>
      </c>
      <c r="J22" s="25">
        <f>(J21*J20)/60</f>
        <v>2500</v>
      </c>
    </row>
    <row r="23" spans="1:10">
      <c r="B23" s="26"/>
      <c r="I23" s="2" t="s">
        <v>66</v>
      </c>
      <c r="J23" s="30">
        <f>J22*J19</f>
        <v>183900</v>
      </c>
    </row>
    <row r="24" spans="1:10">
      <c r="B24" s="26"/>
      <c r="I24" s="2"/>
      <c r="J24" s="30"/>
    </row>
    <row r="25" spans="1:10">
      <c r="B25" s="26" t="s">
        <v>67</v>
      </c>
    </row>
    <row r="26" spans="1:10">
      <c r="C26" t="s">
        <v>68</v>
      </c>
      <c r="D26" t="s">
        <v>69</v>
      </c>
    </row>
    <row r="27" spans="1:10">
      <c r="A27" s="5">
        <v>201</v>
      </c>
      <c r="B27" s="12" t="s">
        <v>13</v>
      </c>
      <c r="C27" s="21">
        <v>190</v>
      </c>
      <c r="D27">
        <f>0.2*(D28+D29+D30+D31)</f>
        <v>520</v>
      </c>
      <c r="E27" s="21">
        <f t="shared" ref="E27:E33" si="0">C27*D27</f>
        <v>98800</v>
      </c>
      <c r="F27" s="17" t="s">
        <v>70</v>
      </c>
    </row>
    <row r="28" spans="1:10">
      <c r="A28" s="5">
        <v>202</v>
      </c>
      <c r="B28" s="13" t="s">
        <v>14</v>
      </c>
      <c r="C28" s="21">
        <v>100</v>
      </c>
      <c r="D28">
        <v>1500</v>
      </c>
      <c r="E28" s="21">
        <f t="shared" si="0"/>
        <v>150000</v>
      </c>
      <c r="F28" s="17" t="s">
        <v>71</v>
      </c>
    </row>
    <row r="29" spans="1:10">
      <c r="A29" s="5">
        <v>203</v>
      </c>
      <c r="B29" s="13" t="s">
        <v>15</v>
      </c>
      <c r="C29" s="21">
        <v>125</v>
      </c>
      <c r="D29">
        <v>500</v>
      </c>
      <c r="E29" s="21">
        <f t="shared" si="0"/>
        <v>62500</v>
      </c>
      <c r="F29" s="17" t="s">
        <v>72</v>
      </c>
    </row>
    <row r="30" spans="1:10">
      <c r="A30" s="5">
        <v>204</v>
      </c>
      <c r="B30" s="12" t="s">
        <v>16</v>
      </c>
      <c r="C30" s="21">
        <v>100</v>
      </c>
      <c r="D30">
        <v>200</v>
      </c>
      <c r="E30" s="21">
        <f t="shared" si="0"/>
        <v>20000</v>
      </c>
      <c r="F30" s="17" t="s">
        <v>73</v>
      </c>
    </row>
    <row r="31" spans="1:10">
      <c r="A31" s="5">
        <v>205</v>
      </c>
      <c r="B31" s="13" t="s">
        <v>17</v>
      </c>
      <c r="C31" s="21">
        <v>100</v>
      </c>
      <c r="D31">
        <v>400</v>
      </c>
      <c r="E31" s="21">
        <f>C31*D31</f>
        <v>40000</v>
      </c>
      <c r="F31" s="17" t="s">
        <v>74</v>
      </c>
    </row>
    <row r="32" spans="1:10">
      <c r="A32" s="5">
        <v>206</v>
      </c>
      <c r="B32" s="13" t="s">
        <v>18</v>
      </c>
      <c r="C32" s="21">
        <v>110</v>
      </c>
      <c r="D32">
        <v>300</v>
      </c>
      <c r="E32" s="21">
        <f>C32*D32</f>
        <v>33000</v>
      </c>
      <c r="F32" s="17" t="s">
        <v>75</v>
      </c>
    </row>
    <row r="33" spans="1:6">
      <c r="A33" s="5">
        <v>207</v>
      </c>
      <c r="B33" s="13" t="s">
        <v>76</v>
      </c>
      <c r="C33" s="21">
        <v>75</v>
      </c>
      <c r="D33">
        <v>200</v>
      </c>
      <c r="E33" s="21">
        <f t="shared" si="0"/>
        <v>15000</v>
      </c>
      <c r="F33" s="17" t="s">
        <v>77</v>
      </c>
    </row>
    <row r="35" spans="1:6">
      <c r="B35" s="26" t="s">
        <v>78</v>
      </c>
    </row>
    <row r="36" spans="1:6">
      <c r="A36" s="7">
        <v>301</v>
      </c>
      <c r="B36" s="14" t="s">
        <v>21</v>
      </c>
      <c r="C36" s="27">
        <f>CBA!C16*0.2</f>
        <v>80860</v>
      </c>
      <c r="D36" s="17" t="s">
        <v>79</v>
      </c>
    </row>
    <row r="37" spans="1:6">
      <c r="A37" s="5">
        <v>304</v>
      </c>
      <c r="B37" s="13" t="s">
        <v>22</v>
      </c>
      <c r="C37" s="16">
        <v>30000</v>
      </c>
      <c r="D37" t="s">
        <v>80</v>
      </c>
      <c r="E37" s="17" t="s">
        <v>81</v>
      </c>
    </row>
    <row r="38" spans="1:6">
      <c r="A38" s="5">
        <v>305</v>
      </c>
      <c r="B38" s="13" t="s">
        <v>23</v>
      </c>
      <c r="C38" s="16">
        <v>33000</v>
      </c>
      <c r="D38" t="s">
        <v>80</v>
      </c>
      <c r="E38" s="17" t="s">
        <v>82</v>
      </c>
    </row>
    <row r="39" spans="1:6">
      <c r="A39" s="5">
        <v>306</v>
      </c>
      <c r="B39" s="13" t="s">
        <v>24</v>
      </c>
      <c r="C39" s="16">
        <v>134000</v>
      </c>
      <c r="D39" s="28" t="s">
        <v>83</v>
      </c>
      <c r="E39" s="17" t="s">
        <v>84</v>
      </c>
    </row>
    <row r="40" spans="1:6">
      <c r="A40" s="5">
        <v>307</v>
      </c>
      <c r="B40" s="13" t="s">
        <v>25</v>
      </c>
      <c r="C40" s="16">
        <v>30000</v>
      </c>
      <c r="D40" s="16">
        <v>10000</v>
      </c>
      <c r="E40" s="17" t="s">
        <v>79</v>
      </c>
    </row>
    <row r="41" spans="1:6">
      <c r="A41" s="5">
        <v>308</v>
      </c>
      <c r="B41" s="13" t="s">
        <v>26</v>
      </c>
      <c r="C41" s="16">
        <v>10000</v>
      </c>
      <c r="D41" s="17" t="s">
        <v>85</v>
      </c>
    </row>
    <row r="45" spans="1:6">
      <c r="A45">
        <v>304</v>
      </c>
    </row>
  </sheetData>
  <phoneticPr fontId="2" type="noConversion"/>
  <hyperlinks>
    <hyperlink ref="F27" r:id="rId1" xr:uid="{AC2603F3-F76A-48CC-A962-AE33888D1003}"/>
    <hyperlink ref="F28" r:id="rId2" xr:uid="{6917DC1D-9E8A-418A-BAB5-B9F0F910E7B5}"/>
    <hyperlink ref="F29" r:id="rId3" xr:uid="{8B0C6544-DE50-416E-9A79-23BD2DC9C9A4}"/>
    <hyperlink ref="F30" r:id="rId4" xr:uid="{48BA93B7-CB10-453F-923C-B5E240057AFC}"/>
    <hyperlink ref="F31" r:id="rId5" xr:uid="{5B3E4B06-AC85-4D0E-94B6-86C2F906DB48}"/>
    <hyperlink ref="F32" r:id="rId6" xr:uid="{F5D60668-D75B-44C0-A780-35844D3C1F1D}"/>
    <hyperlink ref="F33" r:id="rId7" xr:uid="{C1D7A889-EAF4-402F-959E-D265DBC2DAAC}"/>
    <hyperlink ref="D36" r:id="rId8" location=":~:text=On%20average%2C%20healthcare%20organizations%20can,%2420%2C000%20per%20year%20for%20maintenance" xr:uid="{E4E082C5-1388-4F1C-B3BA-0E9634DF0061}"/>
    <hyperlink ref="E40" r:id="rId9" location=":~:text=On%20average%2C%20healthcare%20organizations%20can,%2420%2C000%20per%20year%20for%20maintenance" xr:uid="{28292FB7-6E55-4A79-974D-AD6F47B0E9E6}"/>
    <hyperlink ref="E37" r:id="rId10" xr:uid="{25E14A98-1097-482C-ACBD-B3CE101BFB31}"/>
    <hyperlink ref="D41" r:id="rId11" xr:uid="{A78B0AF5-F936-4ADF-9232-100CE605E03D}"/>
    <hyperlink ref="E39" r:id="rId12" xr:uid="{EA68555D-18C4-4A7B-B8E5-DF36F3CB646C}"/>
    <hyperlink ref="E38" r:id="rId13" xr:uid="{231A7FE2-F6BC-4E24-B763-25EE287D25BD}"/>
    <hyperlink ref="J2" r:id="rId14" xr:uid="{71E430FA-51C1-42C1-8DEC-90BBC8CAD3F9}"/>
    <hyperlink ref="J6" r:id="rId15" xr:uid="{10A63839-7EEE-4B9B-B0CE-4E4AECA85DB4}"/>
    <hyperlink ref="J11" r:id="rId16" xr:uid="{99560172-94F6-480F-9445-4FBC7350C367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d2zn</dc:creator>
  <cp:keywords/>
  <dc:description/>
  <cp:lastModifiedBy>Chen, Yi-Jiun</cp:lastModifiedBy>
  <cp:revision/>
  <dcterms:created xsi:type="dcterms:W3CDTF">2008-09-19T11:43:35Z</dcterms:created>
  <dcterms:modified xsi:type="dcterms:W3CDTF">2024-09-24T13:44:22Z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302923112</vt:i4>
  </property>
  <property fmtid="{D5CDD505-2E9C-101B-9397-08002B2CF9AE}" pid="3" name="_NewReviewCycle">
    <vt:lpwstr/>
  </property>
  <property fmtid="{D5CDD505-2E9C-101B-9397-08002B2CF9AE}" pid="4" name="_EmailSubject">
    <vt:lpwstr>Yearly Benefit &amp; Documents</vt:lpwstr>
  </property>
  <property fmtid="{D5CDD505-2E9C-101B-9397-08002B2CF9AE}" pid="5" name="_AuthorEmail">
    <vt:lpwstr>Nicholas.Ditizio@CMS.hhs.gov</vt:lpwstr>
  </property>
  <property fmtid="{D5CDD505-2E9C-101B-9397-08002B2CF9AE}" pid="6" name="_AuthorEmailDisplayName">
    <vt:lpwstr>Ditizio, Nicholas M. (CMS/CTR)</vt:lpwstr>
  </property>
  <property fmtid="{D5CDD505-2E9C-101B-9397-08002B2CF9AE}" pid="7" name="_PreviousAdHocReviewCycleID">
    <vt:i4>-1384635658</vt:i4>
  </property>
  <property fmtid="{D5CDD505-2E9C-101B-9397-08002B2CF9AE}" pid="8" name="_ReviewingToolsShownOnce">
    <vt:lpwstr/>
  </property>
</Properties>
</file>