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at Sheet" sheetId="1" r:id="rId4"/>
    <sheet state="visible" name="Calculated Operational Costs" sheetId="2" r:id="rId5"/>
    <sheet state="visible" name="Operational Data (Vendors)" sheetId="3" r:id="rId6"/>
  </sheets>
  <definedNames/>
  <calcPr/>
</workbook>
</file>

<file path=xl/sharedStrings.xml><?xml version="1.0" encoding="utf-8"?>
<sst xmlns="http://schemas.openxmlformats.org/spreadsheetml/2006/main" count="71" uniqueCount="62">
  <si>
    <t>Implementation Costs</t>
  </si>
  <si>
    <t>Billing summary</t>
  </si>
  <si>
    <t>From</t>
  </si>
  <si>
    <t>To</t>
  </si>
  <si>
    <t>Total Billed</t>
  </si>
  <si>
    <t xml:space="preserve">Year 1 </t>
  </si>
  <si>
    <t xml:space="preserve">Year 2 </t>
  </si>
  <si>
    <t>MVP Discovery</t>
  </si>
  <si>
    <t>MVP Sprint 0</t>
  </si>
  <si>
    <t>MVP Sprints 1-7</t>
  </si>
  <si>
    <t>MVP UAT, Go Live, Hypercare</t>
  </si>
  <si>
    <t>Phase 2 Discovery</t>
  </si>
  <si>
    <t>Phase 2 Sprints 1-13</t>
  </si>
  <si>
    <t>Phase 3 Discovery</t>
  </si>
  <si>
    <t>Phase 3 Sprints 1-11</t>
  </si>
  <si>
    <t>Run Costs (Infrastructure and Liscensing)</t>
  </si>
  <si>
    <t>Year 1  (5 Months)</t>
  </si>
  <si>
    <t>Checkers Food Services (Phase 1)</t>
  </si>
  <si>
    <t>Core Infrastructure Costs (Development and PROD)
 - 2 Backoffice Server &amp; 1 processing 
 - 2 Store fronts &amp; 2 Solr Servers</t>
  </si>
  <si>
    <t>Liquorshop Click and Collect (Phase 1)</t>
  </si>
  <si>
    <t>Transpharm (Phase 1)</t>
  </si>
  <si>
    <t>Ok Furniture (Phase 2)</t>
  </si>
  <si>
    <t>Additional Infrastructure Costs (Only PROD required)
 - 2 Store fronts &amp; 2  Solr Servers</t>
  </si>
  <si>
    <t>House and Home (Phase 2)</t>
  </si>
  <si>
    <t>OK franchise Division  (Phase 2)</t>
  </si>
  <si>
    <t>Infrastructure</t>
  </si>
  <si>
    <t>SAP Commerce GMV licensing</t>
  </si>
  <si>
    <t xml:space="preserve">Less than 80 Million </t>
  </si>
  <si>
    <t>SAP Commerce GMV licensing *Used for Calculation*</t>
  </si>
  <si>
    <t xml:space="preserve">From 80 Million to 160 Million </t>
  </si>
  <si>
    <t>Note that the GMV liscensing above is based on the current numbers an not the re-negotiated numbers that are not official yet.</t>
  </si>
  <si>
    <t>Operational Support Costs Savings</t>
  </si>
  <si>
    <t>Costs</t>
  </si>
  <si>
    <t>Ok Furniture and House and Home (Phase 2)</t>
  </si>
  <si>
    <t>Ok Franchise Division 24 Stores (Phase 2)</t>
  </si>
  <si>
    <t>Ok Franchise Division (Remaining 386  Stores) 60% Coverage</t>
  </si>
  <si>
    <r>
      <rPr>
        <rFont val="Arial"/>
        <color rgb="FFFFFFFF"/>
      </rPr>
      <t xml:space="preserve">The purpose of this document is to create indicative numbers of the various business unit operations costs for the PAC concept document.
</t>
    </r>
    <r>
      <rPr>
        <rFont val="Arial"/>
        <b/>
        <color rgb="FFFFFFFF"/>
      </rPr>
      <t>Note that this information is confidential and should not be shared without permission of Shoprite.</t>
    </r>
  </si>
  <si>
    <t>USD</t>
  </si>
  <si>
    <t>Checkers Food Services (MVP)</t>
  </si>
  <si>
    <t>Run costs (p/a)</t>
  </si>
  <si>
    <t>Hosting and running costs $4626 per montth</t>
  </si>
  <si>
    <t>Liquorshop Click and Collect (MVP)</t>
  </si>
  <si>
    <t>Internal Costs (p/a)</t>
  </si>
  <si>
    <t xml:space="preserve">Internal Support Resources
 - 1 x Scrum master II
 - 2 x tester II
 - 2 x Developers II
 - 2 x Functional Designer II
 - 2 x Cloud Engineer II
R12,319,200.00
</t>
  </si>
  <si>
    <t>The internal developers skews the results. We will need to leave this off I think</t>
  </si>
  <si>
    <t>Hosting and running costs</t>
  </si>
  <si>
    <t>Ok Furniture and House and Home Phase 2</t>
  </si>
  <si>
    <t>15k per site per month (2 Sites)</t>
  </si>
  <si>
    <t>Need to confirm if this is per website of physical store</t>
  </si>
  <si>
    <t>Ok Franchise Division</t>
  </si>
  <si>
    <t>Currently 10 stores with 14 in planning @ R4170 per month
Total Stores 410</t>
  </si>
  <si>
    <t>Remaining stores 386 @ R4170 per month 60% coverage</t>
  </si>
  <si>
    <t>Ok Franchise 100% coverage</t>
  </si>
  <si>
    <t>Hyper 365</t>
  </si>
  <si>
    <t>To be but can be calculated based on expected customers</t>
  </si>
  <si>
    <t>Checkers Food Services</t>
  </si>
  <si>
    <t>Ok Furniture and House and Home</t>
  </si>
  <si>
    <t xml:space="preserve">Feedback from Terry vd Bank - Furniture (OK Furn and H&amp;H):
We pay a monthly R249 per Merchant (OKF and HH) cost for the gateway and then the per txn costs and % charges per txn on Paygate (same as OKFD do)
Magento cost me just under R15k per month per site incl of support and hosting.
Support is incl of 8 hours and thereafter I get billed for Out of SLA @ R540 per hour.
Dev is adhoc and quoted and then approved before Dev
</t>
  </si>
  <si>
    <t>Ok Francise</t>
  </si>
  <si>
    <t>Liquorshop Click and Collect</t>
  </si>
  <si>
    <t xml:space="preserve">LH indicated the following as Operational People costs
 - 1 x Scrum master II
 - 2 x tester II
 - 2 x Developers II
 - 2 x Functional Designer II
 - 2 x Cloud Engineer II
Hosting costs (Indicitive) : 5000 USD p/m
</t>
  </si>
  <si>
    <t xml:space="preserve">Franchise - Louise de Goede is the person. She understands what you need, will just not possibly make the deadline for Friday. They have a lot going on, so expecting to receive only in next week. 
Furniture Division - Terry vd Bank is the person. I have asked already, waiting for feedback.
CFS - Bilaal Hoosen is our contact. He said he will reach out to the vendor (Dynamics Inc) as he has the relationship with them.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</si>
</sst>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C09]dd\ mmmm\ yyyy"/>
    <numFmt numFmtId="165" formatCode="&quot;R&quot;#,##0"/>
    <numFmt numFmtId="166" formatCode="[$R]#,##0.00"/>
  </numFmts>
  <fonts count="16">
    <font>
      <sz val="10.0"/>
      <color rgb="FF000000"/>
      <name val="Arial"/>
    </font>
    <font>
      <b/>
      <sz val="12.0"/>
      <color rgb="FFFFFFFF"/>
      <name val="Calibri"/>
    </font>
    <font/>
    <font>
      <sz val="11.0"/>
      <color theme="1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999999"/>
      <name val="Calibri"/>
    </font>
    <font>
      <b/>
      <sz val="12.0"/>
      <color rgb="FF000000"/>
      <name val="Calibri"/>
    </font>
    <font>
      <b/>
      <sz val="11.0"/>
      <color theme="1"/>
      <name val="Calibri"/>
    </font>
    <font>
      <sz val="11.0"/>
      <name val="Calibri"/>
    </font>
    <font>
      <color rgb="FFFFFFFF"/>
      <name val="Arial"/>
    </font>
    <font>
      <color theme="1"/>
      <name val="Arial"/>
    </font>
    <font>
      <b/>
      <color rgb="FFFFFFFF"/>
      <name val="Arial"/>
    </font>
    <font>
      <b/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E2200"/>
        <bgColor rgb="FFEE2200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0" fillId="0" fontId="3" numFmtId="0" xfId="0" applyAlignment="1" applyFont="1">
      <alignment vertical="bottom"/>
    </xf>
    <xf borderId="0" fillId="0" fontId="3" numFmtId="0" xfId="0" applyFont="1"/>
    <xf borderId="3" fillId="2" fontId="4" numFmtId="0" xfId="0" applyAlignment="1" applyBorder="1" applyFont="1">
      <alignment shrinkToFit="0" vertical="bottom" wrapText="0"/>
    </xf>
    <xf borderId="3" fillId="2" fontId="5" numFmtId="0" xfId="0" applyAlignment="1" applyBorder="1" applyFont="1">
      <alignment horizontal="left" readingOrder="0" vertical="bottom"/>
    </xf>
    <xf borderId="3" fillId="2" fontId="5" numFmtId="0" xfId="0" applyAlignment="1" applyBorder="1" applyFont="1">
      <alignment readingOrder="0" vertical="bottom"/>
    </xf>
    <xf borderId="3" fillId="2" fontId="5" numFmtId="16" xfId="0" applyAlignment="1" applyBorder="1" applyFont="1" applyNumberFormat="1">
      <alignment vertical="bottom"/>
    </xf>
    <xf borderId="3" fillId="2" fontId="4" numFmtId="16" xfId="0" applyAlignment="1" applyBorder="1" applyFont="1" applyNumberFormat="1">
      <alignment vertical="bottom"/>
    </xf>
    <xf borderId="3" fillId="3" fontId="6" numFmtId="16" xfId="0" applyAlignment="1" applyBorder="1" applyFill="1" applyFont="1" applyNumberFormat="1">
      <alignment vertical="bottom"/>
    </xf>
    <xf borderId="3" fillId="0" fontId="7" numFmtId="0" xfId="0" applyAlignment="1" applyBorder="1" applyFont="1">
      <alignment vertical="bottom"/>
    </xf>
    <xf borderId="3" fillId="0" fontId="7" numFmtId="164" xfId="0" applyAlignment="1" applyBorder="1" applyFont="1" applyNumberFormat="1">
      <alignment horizontal="left" vertical="bottom"/>
    </xf>
    <xf borderId="3" fillId="0" fontId="7" numFmtId="165" xfId="0" applyAlignment="1" applyBorder="1" applyFont="1" applyNumberFormat="1">
      <alignment horizontal="right" vertical="bottom"/>
    </xf>
    <xf borderId="3" fillId="0" fontId="3" numFmtId="0" xfId="0" applyAlignment="1" applyBorder="1" applyFont="1">
      <alignment vertical="bottom"/>
    </xf>
    <xf borderId="3" fillId="4" fontId="3" numFmtId="0" xfId="0" applyAlignment="1" applyBorder="1" applyFill="1" applyFont="1">
      <alignment vertical="bottom"/>
    </xf>
    <xf borderId="3" fillId="0" fontId="3" numFmtId="165" xfId="0" applyAlignment="1" applyBorder="1" applyFont="1" applyNumberFormat="1">
      <alignment vertical="bottom"/>
    </xf>
    <xf borderId="3" fillId="4" fontId="7" numFmtId="165" xfId="0" applyAlignment="1" applyBorder="1" applyFont="1" applyNumberFormat="1">
      <alignment horizontal="right" vertical="bottom"/>
    </xf>
    <xf borderId="3" fillId="0" fontId="8" numFmtId="165" xfId="0" applyAlignment="1" applyBorder="1" applyFont="1" applyNumberFormat="1">
      <alignment horizontal="right" vertical="bottom"/>
    </xf>
    <xf borderId="3" fillId="4" fontId="8" numFmtId="165" xfId="0" applyAlignment="1" applyBorder="1" applyFont="1" applyNumberFormat="1">
      <alignment horizontal="right" vertical="bottom"/>
    </xf>
    <xf borderId="3" fillId="5" fontId="6" numFmtId="165" xfId="0" applyAlignment="1" applyBorder="1" applyFill="1" applyFont="1" applyNumberFormat="1">
      <alignment horizontal="right" vertical="bottom"/>
    </xf>
    <xf borderId="3" fillId="5" fontId="9" numFmtId="165" xfId="0" applyAlignment="1" applyBorder="1" applyFont="1" applyNumberFormat="1">
      <alignment horizontal="right" vertical="bottom"/>
    </xf>
    <xf borderId="3" fillId="3" fontId="6" numFmtId="165" xfId="0" applyAlignment="1" applyBorder="1" applyFont="1" applyNumberFormat="1">
      <alignment horizontal="right" vertical="bottom"/>
    </xf>
    <xf borderId="1" fillId="2" fontId="5" numFmtId="0" xfId="0" applyAlignment="1" applyBorder="1" applyFont="1">
      <alignment horizontal="right" vertical="bottom"/>
    </xf>
    <xf borderId="4" fillId="0" fontId="2" numFmtId="0" xfId="0" applyBorder="1" applyFont="1"/>
    <xf borderId="3" fillId="2" fontId="4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 shrinkToFit="0" vertical="top" wrapText="1"/>
    </xf>
    <xf borderId="6" fillId="0" fontId="2" numFmtId="0" xfId="0" applyBorder="1" applyFont="1"/>
    <xf borderId="7" fillId="0" fontId="2" numFmtId="0" xfId="0" applyBorder="1" applyFont="1"/>
    <xf borderId="8" fillId="0" fontId="7" numFmtId="165" xfId="0" applyAlignment="1" applyBorder="1" applyFont="1" applyNumberFormat="1">
      <alignment horizontal="right" vertical="top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5" fillId="0" fontId="3" numFmtId="0" xfId="0" applyAlignment="1" applyBorder="1" applyFont="1">
      <alignment readingOrder="0" vertical="top"/>
    </xf>
    <xf borderId="0" fillId="5" fontId="3" numFmtId="0" xfId="0" applyAlignment="1" applyFont="1">
      <alignment readingOrder="0"/>
    </xf>
    <xf borderId="0" fillId="5" fontId="3" numFmtId="0" xfId="0" applyFont="1"/>
    <xf borderId="3" fillId="6" fontId="3" numFmtId="0" xfId="0" applyAlignment="1" applyBorder="1" applyFill="1" applyFont="1">
      <alignment readingOrder="0"/>
    </xf>
    <xf borderId="1" fillId="6" fontId="3" numFmtId="0" xfId="0" applyAlignment="1" applyBorder="1" applyFont="1">
      <alignment readingOrder="0"/>
    </xf>
    <xf borderId="3" fillId="6" fontId="7" numFmtId="165" xfId="0" applyAlignment="1" applyBorder="1" applyFont="1" applyNumberFormat="1">
      <alignment horizontal="right" vertical="bottom"/>
    </xf>
    <xf borderId="0" fillId="0" fontId="10" numFmtId="0" xfId="0" applyAlignment="1" applyFont="1">
      <alignment readingOrder="0"/>
    </xf>
    <xf borderId="1" fillId="0" fontId="3" numFmtId="0" xfId="0" applyBorder="1" applyFont="1"/>
    <xf borderId="3" fillId="0" fontId="11" numFmtId="0" xfId="0" applyAlignment="1" applyBorder="1" applyFont="1">
      <alignment readingOrder="0"/>
    </xf>
    <xf borderId="1" fillId="6" fontId="3" numFmtId="0" xfId="0" applyBorder="1" applyFont="1"/>
    <xf borderId="0" fillId="2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readingOrder="0" vertical="top"/>
    </xf>
    <xf borderId="1" fillId="2" fontId="14" numFmtId="0" xfId="0" applyAlignment="1" applyBorder="1" applyFont="1">
      <alignment readingOrder="0"/>
    </xf>
    <xf borderId="3" fillId="0" fontId="13" numFmtId="0" xfId="0" applyAlignment="1" applyBorder="1" applyFont="1">
      <alignment readingOrder="0" vertical="top"/>
    </xf>
    <xf borderId="3" fillId="0" fontId="13" numFmtId="166" xfId="0" applyAlignment="1" applyBorder="1" applyFont="1" applyNumberFormat="1">
      <alignment readingOrder="0" vertical="top"/>
    </xf>
    <xf borderId="3" fillId="6" fontId="13" numFmtId="0" xfId="0" applyAlignment="1" applyBorder="1" applyFont="1">
      <alignment readingOrder="0" vertical="top"/>
    </xf>
    <xf borderId="3" fillId="6" fontId="13" numFmtId="166" xfId="0" applyAlignment="1" applyBorder="1" applyFont="1" applyNumberFormat="1">
      <alignment readingOrder="0" vertical="top"/>
    </xf>
    <xf borderId="0" fillId="6" fontId="13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vertical="top"/>
    </xf>
    <xf borderId="3" fillId="0" fontId="15" numFmtId="166" xfId="0" applyBorder="1" applyFont="1" applyNumberFormat="1"/>
    <xf borderId="3" fillId="5" fontId="13" numFmtId="0" xfId="0" applyAlignment="1" applyBorder="1" applyFont="1">
      <alignment readingOrder="0" vertical="top"/>
    </xf>
    <xf borderId="3" fillId="5" fontId="13" numFmtId="166" xfId="0" applyAlignment="1" applyBorder="1" applyFont="1" applyNumberFormat="1">
      <alignment readingOrder="0" vertical="top"/>
    </xf>
    <xf borderId="1" fillId="7" fontId="14" numFmtId="0" xfId="0" applyAlignment="1" applyBorder="1" applyFill="1" applyFont="1">
      <alignment readingOrder="0"/>
    </xf>
    <xf borderId="3" fillId="0" fontId="13" numFmtId="0" xfId="0" applyAlignment="1" applyBorder="1" applyFont="1">
      <alignment readingOrder="0"/>
    </xf>
    <xf borderId="3" fillId="0" fontId="13" numFmtId="166" xfId="0" applyAlignment="1" applyBorder="1" applyFont="1" applyNumberFormat="1">
      <alignment readingOrder="0"/>
    </xf>
    <xf borderId="3" fillId="2" fontId="14" numFmtId="0" xfId="0" applyAlignment="1" applyBorder="1" applyFont="1">
      <alignment readingOrder="0"/>
    </xf>
    <xf borderId="3" fillId="0" fontId="13" numFmtId="0" xfId="0" applyBorder="1" applyFont="1"/>
    <xf borderId="0" fillId="0" fontId="1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</xdr:row>
      <xdr:rowOff>152400</xdr:rowOff>
    </xdr:from>
    <xdr:ext cx="10306050" cy="1857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6391275" cy="6781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29"/>
    <col customWidth="1" min="2" max="3" width="17.43"/>
    <col customWidth="1" min="4" max="4" width="16.14"/>
    <col customWidth="1" min="5" max="5" width="17.29"/>
    <col customWidth="1" min="6" max="6" width="15.0"/>
  </cols>
  <sheetData>
    <row r="1" ht="21.0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1" t="s">
        <v>7</v>
      </c>
      <c r="B3" s="12">
        <v>44354.0</v>
      </c>
      <c r="C3" s="12">
        <v>44375.0</v>
      </c>
      <c r="D3" s="13">
        <v>264000.0</v>
      </c>
      <c r="E3" s="14"/>
      <c r="F3" s="15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8</v>
      </c>
      <c r="B4" s="12">
        <v>44378.0</v>
      </c>
      <c r="C4" s="12">
        <v>44384.0</v>
      </c>
      <c r="D4" s="13">
        <v>290820.0</v>
      </c>
      <c r="E4" s="14"/>
      <c r="F4" s="15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 t="s">
        <v>9</v>
      </c>
      <c r="B5" s="12">
        <v>44387.0</v>
      </c>
      <c r="C5" s="12">
        <v>44484.0</v>
      </c>
      <c r="D5" s="13">
        <v>4193280.0</v>
      </c>
      <c r="E5" s="14"/>
      <c r="F5" s="15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 t="s">
        <v>10</v>
      </c>
      <c r="B6" s="12">
        <v>44487.0</v>
      </c>
      <c r="C6" s="12">
        <v>44507.0</v>
      </c>
      <c r="D6" s="13">
        <v>702000.0</v>
      </c>
      <c r="E6" s="13">
        <v>6000000.0</v>
      </c>
      <c r="F6" s="15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1" t="s">
        <v>11</v>
      </c>
      <c r="B7" s="12">
        <v>44508.0</v>
      </c>
      <c r="C7" s="12">
        <v>44514.0</v>
      </c>
      <c r="D7" s="13">
        <v>88000.0</v>
      </c>
      <c r="E7" s="14"/>
      <c r="F7" s="15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12</v>
      </c>
      <c r="B8" s="12">
        <v>44515.0</v>
      </c>
      <c r="C8" s="12">
        <v>44694.0</v>
      </c>
      <c r="D8" s="13">
        <v>7787520.0</v>
      </c>
      <c r="E8" s="13">
        <v>8000000.0</v>
      </c>
      <c r="F8" s="15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13</v>
      </c>
      <c r="B9" s="12">
        <v>44697.0</v>
      </c>
      <c r="C9" s="12">
        <v>44703.0</v>
      </c>
      <c r="D9" s="13">
        <v>88000.0</v>
      </c>
      <c r="E9" s="16"/>
      <c r="F9" s="15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 t="s">
        <v>14</v>
      </c>
      <c r="B10" s="12">
        <v>44742.0</v>
      </c>
      <c r="C10" s="12">
        <v>44895.0</v>
      </c>
      <c r="D10" s="13">
        <v>6589440.0</v>
      </c>
      <c r="E10" s="14"/>
      <c r="F10" s="17">
        <v>7000000.0</v>
      </c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/>
      <c r="B11" s="4"/>
      <c r="C11" s="4"/>
      <c r="D11" s="18">
        <v>2.000306E7</v>
      </c>
      <c r="E11" s="18">
        <f t="shared" ref="E11:F11" si="1">SUM(E3:E10)</f>
        <v>14000000</v>
      </c>
      <c r="F11" s="19">
        <f t="shared" si="1"/>
        <v>7000000</v>
      </c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/>
      <c r="B12" s="4"/>
      <c r="C12" s="4"/>
      <c r="D12" s="20">
        <v>2.1E7</v>
      </c>
      <c r="E12" s="21">
        <v>1.4E7</v>
      </c>
      <c r="F12" s="22">
        <v>7000000.0</v>
      </c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15</v>
      </c>
      <c r="B14" s="2"/>
      <c r="C14" s="2"/>
      <c r="D14" s="2"/>
      <c r="E14" s="2"/>
      <c r="F14" s="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</v>
      </c>
      <c r="B15" s="23"/>
      <c r="C15" s="2"/>
      <c r="D15" s="24"/>
      <c r="E15" s="25" t="s">
        <v>16</v>
      </c>
      <c r="F15" s="10" t="s">
        <v>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6" t="s">
        <v>17</v>
      </c>
      <c r="B16" s="27" t="s">
        <v>18</v>
      </c>
      <c r="C16" s="28"/>
      <c r="D16" s="29"/>
      <c r="E16" s="30">
        <f>22835*5*3</f>
        <v>342525</v>
      </c>
      <c r="F16" s="17">
        <f>22835*12*2</f>
        <v>548040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6" t="s">
        <v>19</v>
      </c>
      <c r="B17" s="31"/>
      <c r="D17" s="32"/>
      <c r="E17" s="33"/>
      <c r="F17" s="1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6" t="s">
        <v>20</v>
      </c>
      <c r="B18" s="34"/>
      <c r="C18" s="35"/>
      <c r="D18" s="36"/>
      <c r="E18" s="37"/>
      <c r="F18" s="1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6" t="s">
        <v>21</v>
      </c>
      <c r="B19" s="38" t="s">
        <v>22</v>
      </c>
      <c r="C19" s="28"/>
      <c r="D19" s="28"/>
      <c r="E19" s="29"/>
      <c r="F19" s="17">
        <f>18041*12</f>
        <v>216492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6" t="s">
        <v>23</v>
      </c>
      <c r="B20" s="31"/>
      <c r="E20" s="32"/>
      <c r="F20" s="1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6" t="s">
        <v>24</v>
      </c>
      <c r="B21" s="34"/>
      <c r="C21" s="35"/>
      <c r="D21" s="35"/>
      <c r="E21" s="36"/>
      <c r="F21" s="1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9" t="s">
        <v>25</v>
      </c>
      <c r="B22" s="40"/>
      <c r="C22" s="40"/>
      <c r="D22" s="40"/>
      <c r="E22" s="20">
        <f>E16</f>
        <v>342525</v>
      </c>
      <c r="F22" s="22">
        <f>F16+F19</f>
        <v>764532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1" t="s">
        <v>26</v>
      </c>
      <c r="B23" s="42" t="s">
        <v>27</v>
      </c>
      <c r="C23" s="2"/>
      <c r="D23" s="24"/>
      <c r="E23" s="43">
        <v>0.0</v>
      </c>
      <c r="F23" s="22">
        <v>0.0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1" t="s">
        <v>28</v>
      </c>
      <c r="B24" s="42" t="s">
        <v>29</v>
      </c>
      <c r="C24" s="2"/>
      <c r="D24" s="24"/>
      <c r="E24" s="43">
        <f>(3072000*5/12)*1.22</f>
        <v>1561600</v>
      </c>
      <c r="F24" s="22">
        <f>(3072000*1.22)</f>
        <v>3747840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21">
        <f>E16+E24</f>
        <v>1904125</v>
      </c>
      <c r="F25" s="22">
        <f>F16+F24+F19</f>
        <v>4512372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4" t="s">
        <v>30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 t="s">
        <v>31</v>
      </c>
      <c r="B29" s="2"/>
      <c r="C29" s="2"/>
      <c r="D29" s="2"/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1</v>
      </c>
      <c r="B30" s="23"/>
      <c r="C30" s="2"/>
      <c r="D30" s="24"/>
      <c r="E30" s="25" t="s">
        <v>32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6" t="s">
        <v>17</v>
      </c>
      <c r="B31" s="45"/>
      <c r="C31" s="2"/>
      <c r="D31" s="24"/>
      <c r="E31" s="13">
        <f>'Calculated Operational Costs'!D6</f>
        <v>809364.96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6" t="s">
        <v>19</v>
      </c>
      <c r="B32" s="45"/>
      <c r="C32" s="2"/>
      <c r="D32" s="24"/>
      <c r="E32" s="13">
        <f>'Calculated Operational Costs'!D10</f>
        <v>874800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6" t="s">
        <v>33</v>
      </c>
      <c r="B33" s="45"/>
      <c r="C33" s="2"/>
      <c r="D33" s="24"/>
      <c r="E33" s="13">
        <f>'Calculated Operational Costs'!D13</f>
        <v>360000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6" t="s">
        <v>34</v>
      </c>
      <c r="B34" s="45"/>
      <c r="C34" s="2"/>
      <c r="D34" s="24"/>
      <c r="E34" s="13">
        <f>'Calculated Operational Costs'!D16</f>
        <v>1200960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1" t="s">
        <v>35</v>
      </c>
      <c r="B35" s="47"/>
      <c r="C35" s="2"/>
      <c r="D35" s="24"/>
      <c r="E35" s="43">
        <f>'Calculated Operational Costs'!D17</f>
        <v>11589264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21">
        <f>SUM(E31:E35)</f>
        <v>14834388.96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5">
    <mergeCell ref="B24:D24"/>
    <mergeCell ref="A29:E29"/>
    <mergeCell ref="B30:D30"/>
    <mergeCell ref="B31:D31"/>
    <mergeCell ref="B32:D32"/>
    <mergeCell ref="B33:D33"/>
    <mergeCell ref="B34:D34"/>
    <mergeCell ref="B35:D35"/>
    <mergeCell ref="A1:F1"/>
    <mergeCell ref="A14:F14"/>
    <mergeCell ref="B15:D15"/>
    <mergeCell ref="B16:D18"/>
    <mergeCell ref="E16:E18"/>
    <mergeCell ref="B19:E21"/>
    <mergeCell ref="B23:D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3.14"/>
    <col customWidth="1" min="3" max="3" width="56.43"/>
    <col customWidth="1" min="4" max="4" width="19.29"/>
    <col customWidth="1" min="5" max="5" width="5.57"/>
    <col customWidth="1" min="6" max="6" width="35.57"/>
  </cols>
  <sheetData>
    <row r="1" ht="5.25" customHeight="1"/>
    <row r="2" ht="55.5" customHeight="1">
      <c r="B2" s="48" t="s">
        <v>36</v>
      </c>
      <c r="E2" s="49" t="s">
        <v>37</v>
      </c>
      <c r="F2" s="49">
        <v>14.58</v>
      </c>
    </row>
    <row r="3" ht="3.75" customHeight="1"/>
    <row r="5">
      <c r="B5" s="50" t="s">
        <v>38</v>
      </c>
      <c r="C5" s="2"/>
      <c r="D5" s="24"/>
    </row>
    <row r="6">
      <c r="B6" s="51" t="s">
        <v>39</v>
      </c>
      <c r="C6" s="51" t="s">
        <v>40</v>
      </c>
      <c r="D6" s="52">
        <f>4626*F2*12</f>
        <v>809364.96</v>
      </c>
    </row>
    <row r="8">
      <c r="B8" s="50" t="s">
        <v>41</v>
      </c>
      <c r="C8" s="2"/>
      <c r="D8" s="24"/>
    </row>
    <row r="9" ht="105.0" customHeight="1">
      <c r="B9" s="53" t="s">
        <v>42</v>
      </c>
      <c r="C9" s="53" t="s">
        <v>43</v>
      </c>
      <c r="D9" s="54">
        <v>0.0</v>
      </c>
      <c r="F9" s="55" t="s">
        <v>44</v>
      </c>
    </row>
    <row r="10">
      <c r="B10" s="51" t="s">
        <v>39</v>
      </c>
      <c r="C10" s="51" t="s">
        <v>45</v>
      </c>
      <c r="D10" s="52">
        <f>5000*F2*12</f>
        <v>874800</v>
      </c>
    </row>
    <row r="12">
      <c r="B12" s="50" t="s">
        <v>46</v>
      </c>
      <c r="C12" s="2"/>
      <c r="D12" s="24"/>
    </row>
    <row r="13">
      <c r="B13" s="51" t="s">
        <v>39</v>
      </c>
      <c r="C13" s="51" t="s">
        <v>47</v>
      </c>
      <c r="D13" s="52">
        <f>15000*2*12</f>
        <v>360000</v>
      </c>
      <c r="F13" s="56" t="s">
        <v>48</v>
      </c>
    </row>
    <row r="15">
      <c r="B15" s="50" t="s">
        <v>49</v>
      </c>
      <c r="C15" s="2"/>
      <c r="D15" s="24"/>
    </row>
    <row r="16">
      <c r="B16" s="51" t="s">
        <v>39</v>
      </c>
      <c r="C16" s="51" t="s">
        <v>50</v>
      </c>
      <c r="D16" s="52">
        <f>24*4170*12</f>
        <v>1200960</v>
      </c>
    </row>
    <row r="17">
      <c r="B17" s="57"/>
      <c r="C17" s="53" t="s">
        <v>51</v>
      </c>
      <c r="D17" s="54">
        <f>386*4170*12*0.6</f>
        <v>11589264</v>
      </c>
    </row>
    <row r="19">
      <c r="D19" s="58">
        <f>D16+D13+D10+D9+D6+D17</f>
        <v>14834388.96</v>
      </c>
    </row>
    <row r="20" ht="7.5" customHeight="1"/>
    <row r="21">
      <c r="C21" s="59" t="s">
        <v>52</v>
      </c>
      <c r="D21" s="60">
        <f>(386*4170*12)+D16+D13+D10+D9+D6</f>
        <v>22560564.96</v>
      </c>
    </row>
    <row r="23">
      <c r="B23" s="61" t="s">
        <v>53</v>
      </c>
      <c r="C23" s="2"/>
      <c r="D23" s="24"/>
    </row>
    <row r="24">
      <c r="B24" s="62" t="s">
        <v>39</v>
      </c>
      <c r="C24" s="62" t="s">
        <v>54</v>
      </c>
      <c r="D24" s="63">
        <v>0.0</v>
      </c>
    </row>
  </sheetData>
  <mergeCells count="6">
    <mergeCell ref="B2:D2"/>
    <mergeCell ref="B5:D5"/>
    <mergeCell ref="B8:D8"/>
    <mergeCell ref="B12:D12"/>
    <mergeCell ref="B15:D15"/>
    <mergeCell ref="B23:D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9.0"/>
    <col customWidth="1" min="2" max="2" width="4.29"/>
  </cols>
  <sheetData>
    <row r="1">
      <c r="A1" s="64" t="s">
        <v>55</v>
      </c>
    </row>
    <row r="2" ht="166.5" customHeight="1">
      <c r="A2" s="65"/>
    </row>
    <row r="4">
      <c r="A4" s="64" t="s">
        <v>56</v>
      </c>
    </row>
    <row r="5">
      <c r="A5" s="62" t="s">
        <v>57</v>
      </c>
    </row>
    <row r="7">
      <c r="A7" s="64" t="s">
        <v>58</v>
      </c>
    </row>
    <row r="8" ht="537.0" customHeight="1"/>
    <row r="10">
      <c r="A10" s="64" t="s">
        <v>59</v>
      </c>
    </row>
    <row r="11" ht="133.5" customHeight="1">
      <c r="A11" s="49" t="s">
        <v>60</v>
      </c>
    </row>
    <row r="12">
      <c r="A12" s="66">
        <f>(770*1*174)</f>
        <v>133980</v>
      </c>
    </row>
    <row r="13">
      <c r="A13" s="66">
        <f>2*513*174</f>
        <v>178524</v>
      </c>
    </row>
    <row r="14">
      <c r="A14" s="66">
        <f>2*641*174</f>
        <v>223068</v>
      </c>
    </row>
    <row r="15">
      <c r="A15" s="66">
        <f>2*770*174</f>
        <v>267960</v>
      </c>
    </row>
    <row r="16">
      <c r="A16" s="66">
        <f>2*641*174</f>
        <v>223068</v>
      </c>
    </row>
    <row r="17">
      <c r="A17" s="66">
        <f>SUM(A12:A16)</f>
        <v>1026600</v>
      </c>
    </row>
    <row r="20" ht="60.75" customHeight="1">
      <c r="A20" s="56" t="s">
        <v>61</v>
      </c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BF1612D9E6D243B38B20F77F6F1094" ma:contentTypeVersion="10" ma:contentTypeDescription="Create a new document." ma:contentTypeScope="" ma:versionID="cd4d058d9ddf39179b055fd90987b12e">
  <xsd:schema xmlns:xsd="http://www.w3.org/2001/XMLSchema" xmlns:xs="http://www.w3.org/2001/XMLSchema" xmlns:p="http://schemas.microsoft.com/office/2006/metadata/properties" xmlns:ns2="c0708c3e-836d-4f9a-a36c-bd2fe4c89c08" xmlns:ns3="13537c93-e665-43fd-b8b4-ea13fa87088a" targetNamespace="http://schemas.microsoft.com/office/2006/metadata/properties" ma:root="true" ma:fieldsID="cc41ac2f9fec905a52dda8299a7caf86" ns2:_="" ns3:_="">
    <xsd:import namespace="c0708c3e-836d-4f9a-a36c-bd2fe4c89c08"/>
    <xsd:import namespace="13537c93-e665-43fd-b8b4-ea13fa870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08c3e-836d-4f9a-a36c-bd2fe4c89c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60bc8e-1238-4d40-a60b-0120145f6d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37c93-e665-43fd-b8b4-ea13fa870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d37c89b-e579-4148-8a4f-41a19a17b30a}" ma:internalName="TaxCatchAll" ma:showField="CatchAllData" ma:web="13537c93-e665-43fd-b8b4-ea13fa870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537c93-e665-43fd-b8b4-ea13fa87088a" xsi:nil="true"/>
    <lcf76f155ced4ddcb4097134ff3c332f xmlns="c0708c3e-836d-4f9a-a36c-bd2fe4c89c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7DF817E-FF6B-4A45-994C-C599EE8A785D}"/>
</file>

<file path=customXml/itemProps2.xml><?xml version="1.0" encoding="utf-8"?>
<ds:datastoreItem xmlns:ds="http://schemas.openxmlformats.org/officeDocument/2006/customXml" ds:itemID="{18E732D6-F37C-4DC0-A619-78976CF7CDB0}"/>
</file>

<file path=customXml/itemProps3.xml><?xml version="1.0" encoding="utf-8"?>
<ds:datastoreItem xmlns:ds="http://schemas.openxmlformats.org/officeDocument/2006/customXml" ds:itemID="{CB3C8EBA-B66C-473B-97BC-4F6235C7DDAF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0x0101007EBF1612D9E6D243B38B20F77F6F1094</vt:lpwstr>
  </property>
  <property fmtid="{D5CDD505-2E9C-101B-9397-08002B2CF9AE}" pid="3" name="Order">
    <vt:r8>98800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xd_Signature">
    <vt:bool>false</vt:bool>
  </property>
  <property fmtid="{D5CDD505-2E9C-101B-9397-08002B2CF9AE}" pid="9" name="xd_ProgID">
    <vt:lpwstr/>
  </property>
  <property fmtid="{D5CDD505-2E9C-101B-9397-08002B2CF9AE}" pid="10" name="TriggerFlowInfo">
    <vt:lpwstr/>
  </property>
  <property fmtid="{D5CDD505-2E9C-101B-9397-08002B2CF9AE}" pid="11" name="TemplateUrl">
    <vt:lpwstr/>
  </property>
</Properties>
</file>