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ate1904="1" codeName="ThisWorkbook"/>
  <mc:AlternateContent xmlns:mc="http://schemas.openxmlformats.org/markup-compatibility/2006">
    <mc:Choice Requires="x15">
      <x15ac:absPath xmlns:x15ac="http://schemas.microsoft.com/office/spreadsheetml/2010/11/ac" url="/Users/tf/Documents/finance_python/Valuation/SMH Component Valuations/QCOM/"/>
    </mc:Choice>
  </mc:AlternateContent>
  <xr:revisionPtr revIDLastSave="0" documentId="13_ncr:1_{730AB320-8B0B-794F-B966-F1CD2D614DF9}" xr6:coauthVersionLast="46" xr6:coauthVersionMax="46" xr10:uidLastSave="{00000000-0000-0000-0000-000000000000}"/>
  <bookViews>
    <workbookView xWindow="3280" yWindow="460" windowWidth="30680" windowHeight="19640" tabRatio="772" activeTab="1" xr2:uid="{00000000-000D-0000-FFFF-FFFF00000000}"/>
  </bookViews>
  <sheets>
    <sheet name="Input sheet" sheetId="1" r:id="rId1"/>
    <sheet name="Valuation output" sheetId="2" r:id="rId2"/>
    <sheet name="Revenue Research" sheetId="16" r:id="rId3"/>
    <sheet name="Stories to Numbers" sheetId="3" r:id="rId4"/>
    <sheet name="Trailing 12 month" sheetId="4" r:id="rId5"/>
    <sheet name="Diagnostics" sheetId="5" r:id="rId6"/>
    <sheet name="Summary Sheet" sheetId="6" r:id="rId7"/>
    <sheet name="Operating lease converter" sheetId="7" r:id="rId8"/>
    <sheet name="R&amp;D converter" sheetId="8" r:id="rId9"/>
    <sheet name="Option value" sheetId="9" r:id="rId10"/>
    <sheet name="Cost of capital worksheet" sheetId="10" r:id="rId11"/>
    <sheet name="Country equity risk premiums" sheetId="11" r:id="rId12"/>
    <sheet name="Synthetic rating" sheetId="12" r:id="rId13"/>
    <sheet name="Industry Average Beta (US)" sheetId="13" r:id="rId14"/>
    <sheet name="Industry Average Beta (Global)" sheetId="14" r:id="rId15"/>
    <sheet name="Answer keys" sheetId="15" r:id="rId16"/>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2" l="1"/>
  <c r="F3" i="2"/>
  <c r="D3" i="2"/>
  <c r="E3" i="2" s="1"/>
  <c r="K36" i="2"/>
  <c r="I29" i="2"/>
  <c r="H29" i="2"/>
  <c r="I36" i="2"/>
  <c r="H36" i="2"/>
  <c r="H38" i="2" s="1"/>
  <c r="E36" i="2"/>
  <c r="G3" i="2" l="1"/>
  <c r="N21" i="1"/>
  <c r="D12" i="12"/>
  <c r="F7" i="12"/>
  <c r="F5" i="12"/>
  <c r="C4" i="12"/>
  <c r="B195" i="11"/>
  <c r="B193" i="11"/>
  <c r="B192" i="11"/>
  <c r="B191" i="11"/>
  <c r="B190" i="11"/>
  <c r="B189" i="11"/>
  <c r="B188" i="11"/>
  <c r="B187" i="11"/>
  <c r="B186" i="11"/>
  <c r="I22" i="10" s="1"/>
  <c r="K22" i="10" s="1"/>
  <c r="B185" i="11"/>
  <c r="D181" i="11"/>
  <c r="D180" i="11"/>
  <c r="D179" i="11"/>
  <c r="D178" i="11"/>
  <c r="D177" i="11"/>
  <c r="D176" i="11"/>
  <c r="D175" i="11"/>
  <c r="D174" i="11"/>
  <c r="D173" i="11"/>
  <c r="D172" i="11"/>
  <c r="D171" i="11"/>
  <c r="D170" i="11"/>
  <c r="D169" i="11"/>
  <c r="D168" i="11"/>
  <c r="D167" i="11"/>
  <c r="D166" i="11"/>
  <c r="D165" i="11"/>
  <c r="D164" i="11"/>
  <c r="D163" i="11"/>
  <c r="D162" i="11"/>
  <c r="D161" i="11"/>
  <c r="D160" i="11"/>
  <c r="D159" i="11"/>
  <c r="D158" i="11"/>
  <c r="D157" i="11"/>
  <c r="D156" i="11"/>
  <c r="D155" i="11"/>
  <c r="D154" i="11"/>
  <c r="D153" i="11"/>
  <c r="D152" i="11"/>
  <c r="D151" i="11"/>
  <c r="D150" i="11"/>
  <c r="D149" i="11"/>
  <c r="D148" i="11"/>
  <c r="D147" i="11"/>
  <c r="D146" i="11"/>
  <c r="D145" i="11"/>
  <c r="D144" i="11"/>
  <c r="D143" i="11"/>
  <c r="D142" i="11"/>
  <c r="D141" i="11"/>
  <c r="D140" i="11"/>
  <c r="D139" i="11"/>
  <c r="D138" i="11"/>
  <c r="D137" i="11"/>
  <c r="D136" i="11"/>
  <c r="D135" i="11"/>
  <c r="D134" i="11"/>
  <c r="D133" i="11"/>
  <c r="D132" i="11"/>
  <c r="D131" i="11"/>
  <c r="D130" i="11"/>
  <c r="D129" i="11"/>
  <c r="D128" i="11"/>
  <c r="D127" i="11"/>
  <c r="D126" i="11"/>
  <c r="D125" i="11"/>
  <c r="D124" i="11"/>
  <c r="D123" i="11"/>
  <c r="D122" i="11"/>
  <c r="D121" i="11"/>
  <c r="D120" i="11"/>
  <c r="D119" i="11"/>
  <c r="D118" i="11"/>
  <c r="D117" i="11"/>
  <c r="D116" i="11"/>
  <c r="D115" i="11"/>
  <c r="D114" i="11"/>
  <c r="D113" i="11"/>
  <c r="D112" i="11"/>
  <c r="D111" i="11"/>
  <c r="D110" i="11"/>
  <c r="D109" i="11"/>
  <c r="D108" i="11"/>
  <c r="D107" i="11"/>
  <c r="D106" i="11"/>
  <c r="D105" i="11"/>
  <c r="D104" i="11"/>
  <c r="D103" i="11"/>
  <c r="D102" i="11"/>
  <c r="D101" i="11"/>
  <c r="D100" i="11"/>
  <c r="D99" i="11"/>
  <c r="D98" i="11"/>
  <c r="D97" i="11"/>
  <c r="D96" i="11"/>
  <c r="D95" i="11"/>
  <c r="D94" i="11"/>
  <c r="D93" i="11"/>
  <c r="D92" i="11"/>
  <c r="D91" i="11"/>
  <c r="D90" i="11"/>
  <c r="D89" i="11"/>
  <c r="D88" i="11"/>
  <c r="D87" i="11"/>
  <c r="D86" i="11"/>
  <c r="D85" i="11"/>
  <c r="D84" i="11"/>
  <c r="D83" i="11"/>
  <c r="D82" i="11"/>
  <c r="D81" i="11"/>
  <c r="D80" i="11"/>
  <c r="D79" i="11"/>
  <c r="D78" i="11"/>
  <c r="D77" i="11"/>
  <c r="D76" i="11"/>
  <c r="D75" i="11"/>
  <c r="D74" i="11"/>
  <c r="D73" i="11"/>
  <c r="D72" i="11"/>
  <c r="D71" i="11"/>
  <c r="D70" i="11"/>
  <c r="D69" i="11"/>
  <c r="D68" i="11"/>
  <c r="D67" i="11"/>
  <c r="D66" i="11"/>
  <c r="D65" i="11"/>
  <c r="D64" i="11"/>
  <c r="D63" i="11"/>
  <c r="D62" i="11"/>
  <c r="D61" i="11"/>
  <c r="D60" i="11"/>
  <c r="D59" i="11"/>
  <c r="D58" i="11"/>
  <c r="D57" i="11"/>
  <c r="D56" i="11"/>
  <c r="D55" i="11"/>
  <c r="D54" i="11"/>
  <c r="D53" i="11"/>
  <c r="D52" i="11"/>
  <c r="D51" i="11"/>
  <c r="D50" i="11"/>
  <c r="D49" i="11"/>
  <c r="D48" i="11"/>
  <c r="D47" i="11"/>
  <c r="D46" i="11"/>
  <c r="D45" i="11"/>
  <c r="D44" i="11"/>
  <c r="D43" i="11"/>
  <c r="D42" i="11"/>
  <c r="D41" i="11"/>
  <c r="D40" i="11"/>
  <c r="D39" i="11"/>
  <c r="D38" i="11"/>
  <c r="D37" i="11"/>
  <c r="D36" i="11"/>
  <c r="D35" i="11"/>
  <c r="D34"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D6" i="11"/>
  <c r="D5" i="11"/>
  <c r="H64" i="10"/>
  <c r="K63" i="10"/>
  <c r="I63" i="10"/>
  <c r="J63" i="10" s="1"/>
  <c r="K62" i="10"/>
  <c r="J62" i="10"/>
  <c r="I62" i="10"/>
  <c r="K61" i="10"/>
  <c r="I61" i="10"/>
  <c r="J61" i="10" s="1"/>
  <c r="K60" i="10"/>
  <c r="J60" i="10"/>
  <c r="I60" i="10"/>
  <c r="K59" i="10"/>
  <c r="J59" i="10"/>
  <c r="I59" i="10"/>
  <c r="K58" i="10"/>
  <c r="J58" i="10"/>
  <c r="I58" i="10"/>
  <c r="K57" i="10"/>
  <c r="I57" i="10"/>
  <c r="J57" i="10" s="1"/>
  <c r="K56" i="10"/>
  <c r="I56" i="10"/>
  <c r="J56" i="10" s="1"/>
  <c r="K55" i="10"/>
  <c r="I55" i="10"/>
  <c r="J55" i="10" s="1"/>
  <c r="K54" i="10"/>
  <c r="J54" i="10"/>
  <c r="I54" i="10"/>
  <c r="K53" i="10"/>
  <c r="I53" i="10"/>
  <c r="J53" i="10" s="1"/>
  <c r="K52" i="10"/>
  <c r="J52" i="10"/>
  <c r="I52" i="10"/>
  <c r="H52" i="10"/>
  <c r="D50" i="10"/>
  <c r="H48" i="10"/>
  <c r="D48" i="10"/>
  <c r="K47" i="10"/>
  <c r="J47" i="10"/>
  <c r="I47" i="10"/>
  <c r="I46" i="10"/>
  <c r="J46" i="10" s="1"/>
  <c r="K45" i="10"/>
  <c r="J45" i="10"/>
  <c r="I45" i="10"/>
  <c r="I44" i="10"/>
  <c r="K44" i="10" s="1"/>
  <c r="K43" i="10"/>
  <c r="J43" i="10"/>
  <c r="I43" i="10"/>
  <c r="I42" i="10"/>
  <c r="K42" i="10" s="1"/>
  <c r="K41" i="10"/>
  <c r="J41" i="10"/>
  <c r="I41" i="10"/>
  <c r="I40" i="10"/>
  <c r="K40" i="10" s="1"/>
  <c r="J39" i="10"/>
  <c r="I39" i="10"/>
  <c r="K39" i="10" s="1"/>
  <c r="K38" i="10"/>
  <c r="J38" i="10"/>
  <c r="I38" i="10"/>
  <c r="I37" i="10"/>
  <c r="K37" i="10" s="1"/>
  <c r="K36" i="10"/>
  <c r="J36" i="10"/>
  <c r="I36" i="10"/>
  <c r="B33" i="10"/>
  <c r="C43" i="10" s="1"/>
  <c r="H32" i="10"/>
  <c r="J29" i="10" s="1"/>
  <c r="J31" i="10"/>
  <c r="K31" i="10" s="1"/>
  <c r="I29" i="10"/>
  <c r="I28" i="10"/>
  <c r="J27" i="10"/>
  <c r="K27" i="10" s="1"/>
  <c r="I27" i="10"/>
  <c r="I26" i="10"/>
  <c r="B26" i="10"/>
  <c r="J25" i="10"/>
  <c r="I25" i="10"/>
  <c r="K25" i="10" s="1"/>
  <c r="J24" i="10"/>
  <c r="I24" i="10"/>
  <c r="I23" i="10"/>
  <c r="J22" i="10"/>
  <c r="J21" i="10"/>
  <c r="J32" i="10" s="1"/>
  <c r="I21" i="10"/>
  <c r="K21" i="10" s="1"/>
  <c r="K32" i="10" s="1"/>
  <c r="B19" i="10"/>
  <c r="H18" i="10"/>
  <c r="J5" i="10" s="1"/>
  <c r="B18" i="10"/>
  <c r="J17" i="10"/>
  <c r="K17" i="10" s="1"/>
  <c r="J16" i="10"/>
  <c r="K16" i="10" s="1"/>
  <c r="J15" i="10"/>
  <c r="K15" i="10" s="1"/>
  <c r="I15" i="10"/>
  <c r="J14" i="10"/>
  <c r="K14" i="10" s="1"/>
  <c r="I14" i="10"/>
  <c r="J13" i="10"/>
  <c r="K13" i="10" s="1"/>
  <c r="I13" i="10"/>
  <c r="J12" i="10"/>
  <c r="K12" i="10" s="1"/>
  <c r="I12" i="10"/>
  <c r="B12" i="10"/>
  <c r="J11" i="10"/>
  <c r="K11" i="10" s="1"/>
  <c r="I11" i="10"/>
  <c r="B11" i="10"/>
  <c r="J10" i="10"/>
  <c r="K10" i="10" s="1"/>
  <c r="I10" i="10"/>
  <c r="J9" i="10"/>
  <c r="I8" i="10"/>
  <c r="I7" i="10"/>
  <c r="B7" i="10"/>
  <c r="I6" i="10"/>
  <c r="B6" i="10"/>
  <c r="B48" i="10" s="1"/>
  <c r="I5" i="10"/>
  <c r="F17" i="9"/>
  <c r="C17" i="9"/>
  <c r="F15" i="9"/>
  <c r="F18" i="9" s="1"/>
  <c r="F13" i="9"/>
  <c r="D9" i="9"/>
  <c r="F14" i="9" s="1"/>
  <c r="D8" i="9"/>
  <c r="D7" i="9"/>
  <c r="D5" i="9"/>
  <c r="F16" i="9" s="1"/>
  <c r="D4" i="9"/>
  <c r="D3" i="9"/>
  <c r="C14" i="9" s="1"/>
  <c r="C16" i="9" s="1"/>
  <c r="D2" i="9"/>
  <c r="C13" i="9" s="1"/>
  <c r="B34" i="8"/>
  <c r="B33" i="8"/>
  <c r="B32" i="8"/>
  <c r="B31" i="8"/>
  <c r="B30" i="8"/>
  <c r="B29" i="8"/>
  <c r="B28" i="8"/>
  <c r="B27" i="8"/>
  <c r="B26" i="8"/>
  <c r="E25" i="8"/>
  <c r="C25" i="8"/>
  <c r="D25" i="8" s="1"/>
  <c r="B25" i="8"/>
  <c r="A25" i="8"/>
  <c r="C24" i="8"/>
  <c r="B24" i="8"/>
  <c r="D24" i="8" s="1"/>
  <c r="A12" i="8"/>
  <c r="A13" i="8" s="1"/>
  <c r="A27" i="7"/>
  <c r="B26" i="7"/>
  <c r="A26" i="7"/>
  <c r="B25" i="7"/>
  <c r="A25" i="7"/>
  <c r="B24" i="7"/>
  <c r="A24" i="7"/>
  <c r="B23" i="7"/>
  <c r="A23" i="7"/>
  <c r="B22" i="7"/>
  <c r="A22" i="7"/>
  <c r="D18" i="7"/>
  <c r="B27" i="7" s="1"/>
  <c r="A36" i="6"/>
  <c r="A48" i="6" s="1"/>
  <c r="A33" i="6"/>
  <c r="A45" i="6" s="1"/>
  <c r="A32" i="6"/>
  <c r="A44" i="6" s="1"/>
  <c r="A30" i="6"/>
  <c r="A42" i="6" s="1"/>
  <c r="A25" i="6"/>
  <c r="A37" i="6" s="1"/>
  <c r="A49" i="6" s="1"/>
  <c r="A24" i="6"/>
  <c r="A23" i="6"/>
  <c r="A35" i="6" s="1"/>
  <c r="A47" i="6" s="1"/>
  <c r="A22" i="6"/>
  <c r="A34" i="6" s="1"/>
  <c r="A46" i="6" s="1"/>
  <c r="A21" i="6"/>
  <c r="A20" i="6"/>
  <c r="A19" i="6"/>
  <c r="A31" i="6" s="1"/>
  <c r="A43" i="6" s="1"/>
  <c r="A18" i="6"/>
  <c r="A17" i="6"/>
  <c r="A29" i="6" s="1"/>
  <c r="A41" i="6" s="1"/>
  <c r="A16" i="6"/>
  <c r="A28" i="6" s="1"/>
  <c r="A40" i="6" s="1"/>
  <c r="A15" i="6"/>
  <c r="E5" i="4"/>
  <c r="E4" i="4"/>
  <c r="E3" i="4"/>
  <c r="E2" i="4"/>
  <c r="G39" i="3"/>
  <c r="C9" i="3"/>
  <c r="A1" i="3"/>
  <c r="M44" i="2"/>
  <c r="F13" i="3" s="1"/>
  <c r="B35" i="2"/>
  <c r="B33" i="2"/>
  <c r="D38" i="3" s="1"/>
  <c r="B31" i="2"/>
  <c r="D37" i="3" s="1"/>
  <c r="B29" i="2"/>
  <c r="B28" i="2"/>
  <c r="D35" i="3" s="1"/>
  <c r="B27" i="2"/>
  <c r="B26" i="2"/>
  <c r="D34" i="3" s="1"/>
  <c r="B23" i="2"/>
  <c r="G33" i="3" s="1"/>
  <c r="M13" i="2"/>
  <c r="F14" i="3" s="1"/>
  <c r="D14" i="3" s="1"/>
  <c r="B11" i="2"/>
  <c r="F2" i="6" s="1"/>
  <c r="M7" i="2"/>
  <c r="F11" i="3" s="1"/>
  <c r="D11" i="3" s="1"/>
  <c r="B7" i="2"/>
  <c r="C7" i="2" s="1"/>
  <c r="D7" i="2" s="1"/>
  <c r="E7" i="2" s="1"/>
  <c r="F7" i="2" s="1"/>
  <c r="G7" i="2" s="1"/>
  <c r="B4" i="2"/>
  <c r="M3" i="2"/>
  <c r="L3" i="2"/>
  <c r="D12" i="3"/>
  <c r="K27" i="1"/>
  <c r="J27" i="1"/>
  <c r="K26" i="1"/>
  <c r="J26" i="1"/>
  <c r="N25" i="1"/>
  <c r="K25" i="1"/>
  <c r="J25" i="1"/>
  <c r="K24" i="1"/>
  <c r="J24" i="1"/>
  <c r="I24" i="1"/>
  <c r="N23" i="1"/>
  <c r="K23" i="1"/>
  <c r="J23" i="1"/>
  <c r="N22" i="1"/>
  <c r="K22" i="1"/>
  <c r="J22" i="1"/>
  <c r="I22" i="1"/>
  <c r="C42" i="2" l="1"/>
  <c r="D16" i="6" s="1"/>
  <c r="B11" i="3"/>
  <c r="C11" i="3" s="1"/>
  <c r="K9" i="10"/>
  <c r="J8" i="10"/>
  <c r="K8" i="10" s="1"/>
  <c r="J7" i="10"/>
  <c r="K7" i="10" s="1"/>
  <c r="J6" i="10"/>
  <c r="K6" i="10" s="1"/>
  <c r="K5" i="10"/>
  <c r="H7" i="2"/>
  <c r="I7" i="2" s="1"/>
  <c r="J7" i="2" s="1"/>
  <c r="K7" i="2" s="1"/>
  <c r="L7" i="2" s="1"/>
  <c r="A14" i="8"/>
  <c r="A27" i="8"/>
  <c r="B9" i="3"/>
  <c r="C4" i="2"/>
  <c r="C3" i="6"/>
  <c r="N26" i="1"/>
  <c r="N29" i="1" s="1"/>
  <c r="B31" i="1" s="1"/>
  <c r="C13" i="2" s="1"/>
  <c r="N27" i="1"/>
  <c r="B2" i="6"/>
  <c r="B18" i="2"/>
  <c r="K46" i="10"/>
  <c r="J23" i="10"/>
  <c r="K23" i="10" s="1"/>
  <c r="K29" i="10"/>
  <c r="J64" i="10"/>
  <c r="F9" i="3"/>
  <c r="D9" i="3" s="1"/>
  <c r="F6" i="12"/>
  <c r="D9" i="12" s="1"/>
  <c r="D11" i="12" s="1"/>
  <c r="D13" i="12" s="1"/>
  <c r="B25" i="10" s="1"/>
  <c r="J26" i="10"/>
  <c r="K26" i="10" s="1"/>
  <c r="J30" i="10"/>
  <c r="K30" i="10" s="1"/>
  <c r="J44" i="10"/>
  <c r="K64" i="10"/>
  <c r="F12" i="3"/>
  <c r="K24" i="10"/>
  <c r="J42" i="10"/>
  <c r="A26" i="8"/>
  <c r="J37" i="10"/>
  <c r="J48" i="10" s="1"/>
  <c r="K48" i="10" s="1"/>
  <c r="J40" i="10"/>
  <c r="J28" i="10"/>
  <c r="K28" i="10" s="1"/>
  <c r="D42" i="2" l="1"/>
  <c r="E42" i="2" s="1"/>
  <c r="J18" i="10"/>
  <c r="K18" i="10"/>
  <c r="B15" i="10" s="1"/>
  <c r="C50" i="10"/>
  <c r="C42" i="10"/>
  <c r="C44" i="10" s="1"/>
  <c r="C41" i="10"/>
  <c r="D10" i="12"/>
  <c r="I3" i="2"/>
  <c r="H3" i="2"/>
  <c r="J3" i="2"/>
  <c r="K3" i="2"/>
  <c r="E27" i="8"/>
  <c r="C27" i="8"/>
  <c r="D27" i="8" s="1"/>
  <c r="E26" i="8"/>
  <c r="C26" i="8"/>
  <c r="D26" i="8" s="1"/>
  <c r="A15" i="8"/>
  <c r="A28" i="8"/>
  <c r="B3" i="6"/>
  <c r="D4" i="2"/>
  <c r="C9" i="2"/>
  <c r="B17" i="3"/>
  <c r="H28" i="6"/>
  <c r="B40" i="6" s="1"/>
  <c r="C40" i="6" s="1"/>
  <c r="C14" i="3"/>
  <c r="C14" i="2"/>
  <c r="D13" i="2"/>
  <c r="D17" i="6" l="1"/>
  <c r="C48" i="10"/>
  <c r="E48" i="10" s="1"/>
  <c r="C28" i="8"/>
  <c r="D28" i="8" s="1"/>
  <c r="E28" i="8"/>
  <c r="D14" i="2"/>
  <c r="C45" i="10"/>
  <c r="B50" i="10" s="1"/>
  <c r="F17" i="3"/>
  <c r="F42" i="2"/>
  <c r="D18" i="6"/>
  <c r="E4" i="2"/>
  <c r="B18" i="3"/>
  <c r="B4" i="6"/>
  <c r="D9" i="2"/>
  <c r="F18" i="3" s="1"/>
  <c r="E13" i="2"/>
  <c r="H29" i="6"/>
  <c r="B41" i="6" s="1"/>
  <c r="C41" i="6" s="1"/>
  <c r="A29" i="8"/>
  <c r="A16" i="8"/>
  <c r="C16" i="6"/>
  <c r="E16" i="6" s="1"/>
  <c r="C26" i="7"/>
  <c r="C25" i="7"/>
  <c r="C22" i="7"/>
  <c r="C23" i="7"/>
  <c r="C27" i="7"/>
  <c r="C24" i="7"/>
  <c r="E14" i="2" l="1"/>
  <c r="C4" i="6"/>
  <c r="C17" i="6"/>
  <c r="E17" i="6" s="1"/>
  <c r="E29" i="8"/>
  <c r="C29" i="8"/>
  <c r="D29" i="8" s="1"/>
  <c r="A30" i="8"/>
  <c r="A17" i="8"/>
  <c r="F13" i="2"/>
  <c r="H30" i="6"/>
  <c r="B42" i="6" s="1"/>
  <c r="C42" i="6" s="1"/>
  <c r="E9" i="2"/>
  <c r="F19" i="3" s="1"/>
  <c r="B5" i="6"/>
  <c r="B19" i="3"/>
  <c r="F4" i="2"/>
  <c r="C28" i="7"/>
  <c r="B49" i="10"/>
  <c r="D49" i="10"/>
  <c r="D19" i="6"/>
  <c r="G42" i="2"/>
  <c r="C49" i="10"/>
  <c r="F14" i="2" l="1"/>
  <c r="H31" i="6"/>
  <c r="B43" i="6" s="1"/>
  <c r="C43" i="6" s="1"/>
  <c r="G13" i="2"/>
  <c r="C18" i="6"/>
  <c r="E18" i="6" s="1"/>
  <c r="C5" i="6"/>
  <c r="F33" i="7"/>
  <c r="F34" i="7"/>
  <c r="F31" i="7"/>
  <c r="F32" i="7" s="1"/>
  <c r="E50" i="10"/>
  <c r="E49" i="10"/>
  <c r="D20" i="6"/>
  <c r="H42" i="2"/>
  <c r="A31" i="8"/>
  <c r="A18" i="8"/>
  <c r="F9" i="2"/>
  <c r="F20" i="3" s="1"/>
  <c r="G4" i="2"/>
  <c r="H39" i="2" s="1"/>
  <c r="B6" i="6"/>
  <c r="B20" i="3"/>
  <c r="C30" i="8"/>
  <c r="D30" i="8" s="1"/>
  <c r="E30" i="8"/>
  <c r="H32" i="6" l="1"/>
  <c r="B44" i="6" s="1"/>
  <c r="C44" i="6" s="1"/>
  <c r="H13" i="2"/>
  <c r="C19" i="6"/>
  <c r="E19" i="6" s="1"/>
  <c r="C6" i="6"/>
  <c r="B7" i="6"/>
  <c r="B21" i="3"/>
  <c r="H4" i="2"/>
  <c r="G9" i="2"/>
  <c r="F21" i="3" s="1"/>
  <c r="G14" i="2"/>
  <c r="A32" i="8"/>
  <c r="A19" i="8"/>
  <c r="C31" i="8"/>
  <c r="D31" i="8" s="1"/>
  <c r="E31" i="8"/>
  <c r="I42" i="2"/>
  <c r="D21" i="6"/>
  <c r="H33" i="6" l="1"/>
  <c r="B45" i="6" s="1"/>
  <c r="C45" i="6" s="1"/>
  <c r="I13" i="2"/>
  <c r="B8" i="6"/>
  <c r="B22" i="3"/>
  <c r="I4" i="2"/>
  <c r="H9" i="2"/>
  <c r="F22" i="3" s="1"/>
  <c r="A33" i="8"/>
  <c r="A20" i="8"/>
  <c r="A34" i="8" s="1"/>
  <c r="C20" i="6"/>
  <c r="E20" i="6" s="1"/>
  <c r="C7" i="6"/>
  <c r="H14" i="2"/>
  <c r="J42" i="2"/>
  <c r="D22" i="6"/>
  <c r="E32" i="8"/>
  <c r="C32" i="8"/>
  <c r="D32" i="8" s="1"/>
  <c r="I14" i="2" l="1"/>
  <c r="D23" i="6"/>
  <c r="K42" i="2"/>
  <c r="E33" i="8"/>
  <c r="C33" i="8"/>
  <c r="D33" i="8" s="1"/>
  <c r="B9" i="6"/>
  <c r="I9" i="2"/>
  <c r="F23" i="3" s="1"/>
  <c r="B23" i="3"/>
  <c r="J4" i="2"/>
  <c r="C8" i="6"/>
  <c r="C21" i="6"/>
  <c r="E21" i="6" s="1"/>
  <c r="J13" i="2"/>
  <c r="J14" i="2" s="1"/>
  <c r="H34" i="6"/>
  <c r="B46" i="6" s="1"/>
  <c r="C46" i="6" s="1"/>
  <c r="E34" i="8"/>
  <c r="E35" i="8" s="1"/>
  <c r="D37" i="8" s="1"/>
  <c r="D39" i="8" s="1"/>
  <c r="C34" i="8"/>
  <c r="D34" i="8" s="1"/>
  <c r="D35" i="8" s="1"/>
  <c r="B43" i="2" s="1"/>
  <c r="C29" i="1" s="1"/>
  <c r="D40" i="8" l="1"/>
  <c r="B6" i="2"/>
  <c r="B2" i="5"/>
  <c r="G15" i="6"/>
  <c r="G16" i="6" s="1"/>
  <c r="G17" i="6" s="1"/>
  <c r="G18" i="6" s="1"/>
  <c r="G19" i="6" s="1"/>
  <c r="G20" i="6" s="1"/>
  <c r="G21" i="6" s="1"/>
  <c r="C43" i="2"/>
  <c r="D43" i="2" s="1"/>
  <c r="E43" i="2" s="1"/>
  <c r="F43" i="2" s="1"/>
  <c r="G43" i="2" s="1"/>
  <c r="H43" i="2" s="1"/>
  <c r="I43" i="2" s="1"/>
  <c r="C9" i="6"/>
  <c r="C22" i="6"/>
  <c r="E22" i="6" s="1"/>
  <c r="B10" i="6"/>
  <c r="J9" i="2"/>
  <c r="F24" i="3" s="1"/>
  <c r="B24" i="3"/>
  <c r="K4" i="2"/>
  <c r="H35" i="6"/>
  <c r="B47" i="6" s="1"/>
  <c r="C47" i="6" s="1"/>
  <c r="K13" i="2"/>
  <c r="L42" i="2"/>
  <c r="D25" i="6" s="1"/>
  <c r="D24" i="6"/>
  <c r="J43" i="2" l="1"/>
  <c r="B5" i="2"/>
  <c r="B8" i="2"/>
  <c r="G22" i="6"/>
  <c r="H36" i="6"/>
  <c r="B48" i="6" s="1"/>
  <c r="C48" i="6" s="1"/>
  <c r="L13" i="2"/>
  <c r="H37" i="6" s="1"/>
  <c r="B49" i="6" s="1"/>
  <c r="L4" i="2"/>
  <c r="E17" i="2" s="1"/>
  <c r="B25" i="3"/>
  <c r="K9" i="2"/>
  <c r="F25" i="3" s="1"/>
  <c r="B11" i="6"/>
  <c r="K14" i="2"/>
  <c r="C23" i="6"/>
  <c r="E23" i="6" s="1"/>
  <c r="C10" i="6"/>
  <c r="K43" i="2" l="1"/>
  <c r="G23" i="6"/>
  <c r="I25" i="1"/>
  <c r="B44" i="2"/>
  <c r="B13" i="3" s="1"/>
  <c r="H2" i="6"/>
  <c r="B15" i="6" s="1"/>
  <c r="H15" i="6" s="1"/>
  <c r="B10" i="3"/>
  <c r="C10" i="3" s="1"/>
  <c r="C5" i="2"/>
  <c r="F5" i="2"/>
  <c r="L5" i="2"/>
  <c r="I23" i="1"/>
  <c r="J5" i="2"/>
  <c r="E5" i="2"/>
  <c r="I5" i="2"/>
  <c r="H5" i="2"/>
  <c r="K5" i="2"/>
  <c r="D2" i="6"/>
  <c r="E2" i="6" s="1"/>
  <c r="D5" i="2"/>
  <c r="G5" i="2"/>
  <c r="L14" i="2"/>
  <c r="B8" i="5" s="1"/>
  <c r="C49" i="6"/>
  <c r="C11" i="6"/>
  <c r="C24" i="6"/>
  <c r="E24" i="6" s="1"/>
  <c r="M4" i="2"/>
  <c r="B12" i="6"/>
  <c r="B26" i="3"/>
  <c r="L9" i="2"/>
  <c r="F26" i="3" s="1"/>
  <c r="E19" i="2" l="1"/>
  <c r="G2" i="6"/>
  <c r="G24" i="6"/>
  <c r="L43" i="2"/>
  <c r="B3" i="5" s="1"/>
  <c r="B4" i="5" s="1"/>
  <c r="D12" i="6"/>
  <c r="E12" i="6" s="1"/>
  <c r="M6" i="2"/>
  <c r="C26" i="3"/>
  <c r="D26" i="3" s="1"/>
  <c r="C6" i="2"/>
  <c r="C17" i="3"/>
  <c r="D17" i="3" s="1"/>
  <c r="D3" i="6"/>
  <c r="E3" i="6" s="1"/>
  <c r="D9" i="6"/>
  <c r="E9" i="6" s="1"/>
  <c r="C23" i="3"/>
  <c r="D23" i="3" s="1"/>
  <c r="I6" i="2"/>
  <c r="D4" i="6"/>
  <c r="E4" i="6" s="1"/>
  <c r="C18" i="3"/>
  <c r="D18" i="3" s="1"/>
  <c r="D6" i="2"/>
  <c r="E6" i="2"/>
  <c r="C19" i="3"/>
  <c r="D19" i="3" s="1"/>
  <c r="D5" i="6"/>
  <c r="E5" i="6" s="1"/>
  <c r="C25" i="3"/>
  <c r="D25" i="3" s="1"/>
  <c r="D11" i="6"/>
  <c r="E11" i="6" s="1"/>
  <c r="K6" i="2"/>
  <c r="C24" i="3"/>
  <c r="D24" i="3" s="1"/>
  <c r="D10" i="6"/>
  <c r="E10" i="6" s="1"/>
  <c r="J6" i="2"/>
  <c r="C20" i="3"/>
  <c r="D20" i="3" s="1"/>
  <c r="D6" i="6"/>
  <c r="E6" i="6" s="1"/>
  <c r="F6" i="2"/>
  <c r="L6" i="2"/>
  <c r="B5" i="5" s="1"/>
  <c r="D8" i="6"/>
  <c r="E8" i="6" s="1"/>
  <c r="C22" i="3"/>
  <c r="D22" i="3" s="1"/>
  <c r="H6" i="2"/>
  <c r="C21" i="3"/>
  <c r="D21" i="3" s="1"/>
  <c r="D7" i="6"/>
  <c r="E7" i="6" s="1"/>
  <c r="G6" i="2"/>
  <c r="C12" i="6"/>
  <c r="C25" i="6"/>
  <c r="E25" i="6" s="1"/>
  <c r="B27" i="3"/>
  <c r="J30" i="1"/>
  <c r="B6" i="5" l="1"/>
  <c r="D13" i="3" s="1"/>
  <c r="G25" i="6"/>
  <c r="C8" i="2"/>
  <c r="C11" i="2"/>
  <c r="F3" i="6" s="1"/>
  <c r="F10" i="3"/>
  <c r="D10" i="3" s="1"/>
  <c r="C27" i="3"/>
  <c r="D27" i="3" s="1"/>
  <c r="M8" i="2"/>
  <c r="N6" i="2"/>
  <c r="J31" i="1"/>
  <c r="C44" i="2" l="1"/>
  <c r="E17" i="3"/>
  <c r="G17" i="3" s="1"/>
  <c r="C10" i="2"/>
  <c r="C15" i="2" s="1"/>
  <c r="H3" i="6"/>
  <c r="D8" i="2"/>
  <c r="D11" i="2"/>
  <c r="E27" i="3"/>
  <c r="M9" i="2"/>
  <c r="F4" i="6" l="1"/>
  <c r="E11" i="2"/>
  <c r="E8" i="2"/>
  <c r="D10" i="2"/>
  <c r="D15" i="2" s="1"/>
  <c r="E18" i="3"/>
  <c r="G18" i="3" s="1"/>
  <c r="H4" i="6"/>
  <c r="D44" i="2"/>
  <c r="B16" i="6"/>
  <c r="G3" i="6"/>
  <c r="F27" i="3"/>
  <c r="G27" i="3" s="1"/>
  <c r="N9" i="2"/>
  <c r="M10" i="2"/>
  <c r="B17" i="2" s="1"/>
  <c r="B19" i="2" s="1"/>
  <c r="E44" i="2" l="1"/>
  <c r="E10" i="2"/>
  <c r="E15" i="2" s="1"/>
  <c r="E19" i="3"/>
  <c r="G19" i="3" s="1"/>
  <c r="H5" i="6"/>
  <c r="F5" i="6"/>
  <c r="F11" i="2"/>
  <c r="F8" i="2"/>
  <c r="H16" i="6"/>
  <c r="F16" i="6"/>
  <c r="D40" i="6" s="1"/>
  <c r="F40" i="6" s="1"/>
  <c r="B17" i="6"/>
  <c r="G4" i="6"/>
  <c r="D29" i="3"/>
  <c r="E49" i="6"/>
  <c r="B20" i="2"/>
  <c r="B18" i="6" l="1"/>
  <c r="G5" i="6"/>
  <c r="F6" i="6"/>
  <c r="G8" i="2"/>
  <c r="G11" i="2"/>
  <c r="H6" i="6"/>
  <c r="E20" i="3"/>
  <c r="G20" i="3" s="1"/>
  <c r="F44" i="2"/>
  <c r="F10" i="2"/>
  <c r="F15" i="2" s="1"/>
  <c r="H17" i="6"/>
  <c r="F17" i="6"/>
  <c r="D41" i="6" s="1"/>
  <c r="F41" i="6" s="1"/>
  <c r="D30" i="3"/>
  <c r="B19" i="6" l="1"/>
  <c r="G6" i="6"/>
  <c r="F7" i="6"/>
  <c r="H8" i="2"/>
  <c r="H11" i="2"/>
  <c r="H7" i="6"/>
  <c r="E21" i="3"/>
  <c r="G21" i="3" s="1"/>
  <c r="G44" i="2"/>
  <c r="G10" i="2"/>
  <c r="G15" i="2" s="1"/>
  <c r="H18" i="6"/>
  <c r="F18" i="6"/>
  <c r="D42" i="6" s="1"/>
  <c r="F42" i="6" s="1"/>
  <c r="B20" i="6" l="1"/>
  <c r="G7" i="6"/>
  <c r="F8" i="6"/>
  <c r="I11" i="2"/>
  <c r="I8" i="2"/>
  <c r="H10" i="2"/>
  <c r="H15" i="2" s="1"/>
  <c r="H44" i="2"/>
  <c r="H8" i="6"/>
  <c r="E22" i="3"/>
  <c r="G22" i="3" s="1"/>
  <c r="H19" i="6"/>
  <c r="F19" i="6"/>
  <c r="D43" i="6" s="1"/>
  <c r="F43" i="6" s="1"/>
  <c r="B21" i="6" l="1"/>
  <c r="G8" i="6"/>
  <c r="E23" i="3"/>
  <c r="G23" i="3" s="1"/>
  <c r="I10" i="2"/>
  <c r="I15" i="2" s="1"/>
  <c r="H9" i="6"/>
  <c r="I44" i="2"/>
  <c r="F9" i="6"/>
  <c r="J8" i="2"/>
  <c r="J11" i="2"/>
  <c r="H20" i="6"/>
  <c r="F20" i="6"/>
  <c r="D44" i="6" s="1"/>
  <c r="F44" i="6" s="1"/>
  <c r="B22" i="6" l="1"/>
  <c r="G9" i="6"/>
  <c r="J10" i="2"/>
  <c r="J15" i="2" s="1"/>
  <c r="H10" i="6"/>
  <c r="J44" i="2"/>
  <c r="E24" i="3"/>
  <c r="G24" i="3" s="1"/>
  <c r="F10" i="6"/>
  <c r="K11" i="2"/>
  <c r="K8" i="2"/>
  <c r="F21" i="6"/>
  <c r="D45" i="6" s="1"/>
  <c r="F45" i="6" s="1"/>
  <c r="H21" i="6"/>
  <c r="F11" i="6" l="1"/>
  <c r="L8" i="2"/>
  <c r="L11" i="2"/>
  <c r="B23" i="6"/>
  <c r="G10" i="6"/>
  <c r="K44" i="2"/>
  <c r="E25" i="3"/>
  <c r="G25" i="3" s="1"/>
  <c r="K10" i="2"/>
  <c r="K15" i="2" s="1"/>
  <c r="H11" i="6"/>
  <c r="F22" i="6"/>
  <c r="D46" i="6" s="1"/>
  <c r="F46" i="6" s="1"/>
  <c r="H22" i="6"/>
  <c r="F23" i="6" l="1"/>
  <c r="D47" i="6" s="1"/>
  <c r="F47" i="6" s="1"/>
  <c r="H23" i="6"/>
  <c r="F12" i="6"/>
  <c r="M11" i="2"/>
  <c r="L10" i="2"/>
  <c r="E18" i="2" s="1"/>
  <c r="E26" i="3"/>
  <c r="G26" i="3" s="1"/>
  <c r="L44" i="2"/>
  <c r="H12" i="6"/>
  <c r="B24" i="6"/>
  <c r="G11" i="6"/>
  <c r="L15" i="2" l="1"/>
  <c r="B21" i="2" s="1"/>
  <c r="B22" i="2" s="1"/>
  <c r="B7" i="5"/>
  <c r="J32" i="1"/>
  <c r="B25" i="6"/>
  <c r="G12" i="6"/>
  <c r="H24" i="6"/>
  <c r="F24" i="6"/>
  <c r="D48" i="6" s="1"/>
  <c r="F48" i="6" s="1"/>
  <c r="D31" i="3" l="1"/>
  <c r="D32" i="3"/>
  <c r="B24" i="2"/>
  <c r="B25" i="2" s="1"/>
  <c r="B30" i="2" s="1"/>
  <c r="B32" i="2" s="1"/>
  <c r="B34" i="2" s="1"/>
  <c r="F25" i="6"/>
  <c r="D49" i="6" s="1"/>
  <c r="F49" i="6" s="1"/>
  <c r="F50" i="6" s="1"/>
  <c r="H25" i="6"/>
  <c r="B9" i="5" l="1"/>
  <c r="B10" i="5" s="1"/>
  <c r="B36" i="2"/>
  <c r="D33" i="3"/>
  <c r="D36" i="3" s="1"/>
  <c r="D39" i="3" s="1"/>
  <c r="C15" i="9" l="1"/>
  <c r="B20" i="9"/>
  <c r="B21" i="9"/>
  <c r="B23" i="9"/>
  <c r="B24" i="9"/>
  <c r="C26" i="9"/>
  <c r="D27"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C4" authorId="0" shapeId="0" xr:uid="{00000000-0006-0000-0000-000001000000}">
      <text>
        <r>
          <rPr>
            <sz val="9"/>
            <rFont val="Geneva"/>
            <family val="2"/>
          </rPr>
          <t>Aswath Damodaran:
If you are using trailing 12-month data, it is best if the last year is the 12-month period just prior to the one that you are using. Thus, if you are looking at June 2011-June 2012, your trailing 12 month for the income statement numbers will be June 2010-June 2011 and your balance sheet numbers should be as of June 2011.</t>
        </r>
      </text>
    </comment>
    <comment ref="B6" authorId="0" shapeId="0" xr:uid="{00000000-0006-0000-0000-000002000000}">
      <text>
        <r>
          <rPr>
            <sz val="9"/>
            <rFont val="Geneva"/>
            <family val="2"/>
          </rPr>
          <t>Aswath Damodaran:
If you are in multiple businesses, you can construct your own weighted averages using the industry average table from this spreadsheet and your company's business breakdown.</t>
        </r>
      </text>
    </comment>
    <comment ref="D7" authorId="0" shapeId="0" xr:uid="{00000000-0006-0000-0000-000003000000}">
      <text>
        <r>
          <rPr>
            <sz val="9"/>
            <rFont val="Geneva"/>
            <family val="2"/>
          </rPr>
          <t>Aswath Damodaran:
If you have trailing 12 month numbers, the last year's numbers may be only 3 months, 6 months or 9 months ago.</t>
        </r>
      </text>
    </comment>
    <comment ref="B8" authorId="0" shapeId="0" xr:uid="{00000000-0006-0000-0000-000004000000}">
      <text>
        <r>
          <rPr>
            <sz val="9"/>
            <color rgb="FF000000"/>
            <rFont val="Geneva"/>
            <family val="2"/>
            <charset val="1"/>
          </rPr>
          <t xml:space="preserve">Aswath Damodaran:
</t>
        </r>
        <r>
          <rPr>
            <sz val="9"/>
            <color rgb="FF000000"/>
            <rFont val="Geneva"/>
            <family val="2"/>
            <charset val="1"/>
          </rPr>
          <t>Enter the revenues from the most recent period (you can either use annual or the trailing 12 months). If your company had no revenues, enter a very small positive number. (You need a base for your growth rate)</t>
        </r>
      </text>
    </comment>
    <comment ref="C8" authorId="0" shapeId="0" xr:uid="{00000000-0006-0000-0000-000005000000}">
      <text>
        <r>
          <rPr>
            <sz val="9"/>
            <rFont val="Geneva"/>
            <family val="2"/>
          </rPr>
          <t>Aswath Damodaran:
Enter the revenues from the most recent period (you can either use annual or the trailing 12 months). If your company had no revenues, enter a very small positive number. (You need a base for your growth rate)</t>
        </r>
      </text>
    </comment>
    <comment ref="B9" authorId="0" shapeId="0" xr:uid="{00000000-0006-0000-0000-000006000000}">
      <text>
        <r>
          <rPr>
            <sz val="9"/>
            <color rgb="FF000000"/>
            <rFont val="Geneva"/>
            <family val="2"/>
            <charset val="1"/>
          </rPr>
          <t xml:space="preserve">Aswath Damodaran:
</t>
        </r>
        <r>
          <rPr>
            <sz val="9"/>
            <color rgb="FF000000"/>
            <rFont val="Geneva"/>
            <family val="2"/>
            <charset val="1"/>
          </rPr>
          <t>Enter the operating income or EBIT from the most recent time period, even if that number is negative. If you have operating leases or R&amp;D and want to adjust for them, use the options below to start the process and enter the numbers in the relevan t worksheets.</t>
        </r>
      </text>
    </comment>
    <comment ref="C9" authorId="0" shapeId="0" xr:uid="{00000000-0006-0000-0000-000007000000}">
      <text>
        <r>
          <rPr>
            <sz val="9"/>
            <rFont val="Geneva"/>
            <family val="2"/>
          </rPr>
          <t>Aswath Damodaran:
Enter the operating income or EBIT from the most recent time period, even if that number is negative. If you have operating leases, enter the adjusted operating income (see the operating lease worksheet for the amount you have to adjust operating income by).</t>
        </r>
      </text>
    </comment>
    <comment ref="B11" authorId="0" shapeId="0" xr:uid="{00000000-0006-0000-0000-000008000000}">
      <text>
        <r>
          <rPr>
            <sz val="9"/>
            <rFont val="Geneva"/>
            <family val="2"/>
          </rPr>
          <t>Aswath Damodaran: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C11" authorId="0" shapeId="0" xr:uid="{00000000-0006-0000-0000-000009000000}">
      <text>
        <r>
          <rPr>
            <sz val="9"/>
            <rFont val="Geneva"/>
            <family val="2"/>
          </rPr>
          <t>Aswath Damodaran:
Enter the book value of equity (total) from the end of the most recent time period (i.e. the most recent balance sheet). This book equity will include everything - paid in capital, retained earnings etc. and may even be negative for companies that have been losing money for a while.</t>
        </r>
      </text>
    </comment>
    <comment ref="B12" authorId="0" shapeId="0" xr:uid="{00000000-0006-0000-0000-00000A000000}">
      <text>
        <r>
          <rPr>
            <sz val="9"/>
            <color rgb="FF000000"/>
            <rFont val="Geneva"/>
            <family val="2"/>
            <charset val="1"/>
          </rPr>
          <t xml:space="preserve">Aswath Damodaran:
</t>
        </r>
        <r>
          <rPr>
            <sz val="9"/>
            <color rgb="FF000000"/>
            <rFont val="Geneva"/>
            <family val="2"/>
            <charset val="1"/>
          </rPr>
          <t xml:space="preserve">Enter the book value of interest bearing debt (short and long term) at your company from the most recent balance sheet. (Do not include accounts payable, supplier credit or other non-interest bearing liabilities.) </t>
        </r>
      </text>
    </comment>
    <comment ref="C12" authorId="0" shapeId="0" xr:uid="{00000000-0006-0000-0000-00000B000000}">
      <text>
        <r>
          <rPr>
            <sz val="9"/>
            <rFont val="Geneva"/>
            <family val="2"/>
          </rPr>
          <t xml:space="preserve">Aswath Damodaran:
Enter the book value of interest bearing debt (short and long term) at your company from the most recent balance sheet. (Do not include accounts payable, supplier credit or other non-interest bearing liabilities.) </t>
        </r>
      </text>
    </comment>
    <comment ref="B15" authorId="0" shapeId="0" xr:uid="{00000000-0006-0000-0000-00000C000000}">
      <text>
        <r>
          <rPr>
            <sz val="9"/>
            <rFont val="Geneva"/>
            <family val="2"/>
          </rPr>
          <t>Aswath Damodaran:
Enter the cash balance from the most recent balance sheet. This should include marketable securities.</t>
        </r>
      </text>
    </comment>
    <comment ref="C15" authorId="0" shapeId="0" xr:uid="{00000000-0006-0000-0000-00000D000000}">
      <text>
        <r>
          <rPr>
            <sz val="9"/>
            <rFont val="Geneva"/>
            <family val="2"/>
          </rPr>
          <t>Aswath Damodaran:
Enter the cash balance from the most recent balance sheet. This should include marketable securities.</t>
        </r>
      </text>
    </comment>
    <comment ref="B16" authorId="0" shapeId="0" xr:uid="{00000000-0006-0000-0000-00000E000000}">
      <text>
        <r>
          <rPr>
            <sz val="9"/>
            <rFont val="Geneva"/>
            <family val="2"/>
          </rPr>
          <t>Aswath Damodaran:
Enter the market value of those non-cash assets whose earnings are (and will never) show up as part of operating income. The most common non-operating assets are minority holdings in other companies (which are not consoldiated). You can find the book value of these holdings on the balance sheet, but see if you can convert to market value. (I apply a price to book ratio, based on the sector that the company is in to the book value).</t>
        </r>
      </text>
    </comment>
    <comment ref="B17" authorId="0" shapeId="0" xr:uid="{00000000-0006-0000-0000-00000F000000}">
      <text>
        <r>
          <rPr>
            <sz val="9"/>
            <color rgb="FF000000"/>
            <rFont val="Geneva"/>
            <family val="2"/>
            <charset val="1"/>
          </rPr>
          <t xml:space="preserve">Aswath Damodaran:
</t>
        </r>
        <r>
          <rPr>
            <sz val="9"/>
            <color rgb="FF000000"/>
            <rFont val="Geneva"/>
            <family val="2"/>
            <charset val="1"/>
          </rPr>
          <t>Enter the "market" value of minority interests. This is a uniquely accounting item and will be on the liability side of your company's balance sheet. It reflects the requirement that if you own more than 50% of another company or have effective control of it, you have to consolidate that company's statements with yours. Thus, you count 100% of that subsidiaries assets, revenues and operating income with your company, even if you own only 60%. The minority interest reflects the book value of the 40% of the equity in the subsidiary that does not belong to you. Again, it is best if you can convert the book value to a market value by applying the price to book ratio for the sector in which the subsidiary operates</t>
        </r>
      </text>
    </comment>
    <comment ref="B18" authorId="0" shapeId="0" xr:uid="{00000000-0006-0000-0000-000010000000}">
      <text>
        <r>
          <rPr>
            <sz val="9"/>
            <rFont val="Geneva"/>
            <family val="2"/>
          </rPr>
          <t>Aswath Damodaran:
Enter the most recent update you have on the number of shares. If you have different classes of shares, aggregate them all and enter one number. Count restricted stock units (RSUs) as shares but don't count shares underlying employee options.</t>
        </r>
      </text>
    </comment>
    <comment ref="B19" authorId="0" shapeId="0" xr:uid="{00000000-0006-0000-0000-000011000000}">
      <text>
        <r>
          <rPr>
            <sz val="9"/>
            <rFont val="Geneva"/>
            <family val="2"/>
          </rPr>
          <t xml:space="preserve">Aswath Damodaran:
Enter the most recent stock price (how about today's?) in here. </t>
        </r>
      </text>
    </comment>
    <comment ref="B20" authorId="0" shapeId="0" xr:uid="{00000000-0006-0000-0000-000012000000}">
      <text>
        <r>
          <rPr>
            <sz val="9"/>
            <rFont val="Geneva"/>
            <family val="2"/>
          </rPr>
          <t>Aswath Damodaran:
Enter your effective (not marginal) tax rate for your firm. You will find this in your company's annual report. If you cannot, you can compute it as follows, from the income statement:
Effective tax rate = Taxes paid/ Taxable income
If your effective tax rate varies across years, you can use an average. If the effective tax rate is less than zero, enter zero.
If you have a money losing company, don't enter zero but enter the tax rate that you will have when you start making money.</t>
        </r>
      </text>
    </comment>
    <comment ref="B21" authorId="0" shapeId="0" xr:uid="{00000000-0006-0000-0000-000013000000}">
      <text>
        <r>
          <rPr>
            <sz val="9"/>
            <color rgb="FF000000"/>
            <rFont val="Geneva"/>
            <family val="2"/>
            <charset val="1"/>
          </rPr>
          <t xml:space="preserve">Aswath Damodaran:
</t>
        </r>
        <r>
          <rPr>
            <sz val="9"/>
            <color rgb="FF000000"/>
            <rFont val="Geneva"/>
            <family val="2"/>
            <charset val="1"/>
          </rPr>
          <t>This is a statutory tax rate. I use the tax rate of the country the company is domiciled in. See worksheet embedded in this spreadshseet for country tax rates.</t>
        </r>
      </text>
    </comment>
    <comment ref="B23" authorId="0" shapeId="0" xr:uid="{00000000-0006-0000-0000-000014000000}">
      <text>
        <r>
          <rPr>
            <sz val="9"/>
            <color rgb="FF000000"/>
            <rFont val="Geneva"/>
            <family val="2"/>
            <charset val="1"/>
          </rPr>
          <t xml:space="preserve">Aswath Damodaran:
</t>
        </r>
        <r>
          <rPr>
            <sz val="9"/>
            <color rgb="FF000000"/>
            <rFont val="Geneva"/>
            <family val="2"/>
            <charset val="1"/>
          </rPr>
          <t xml:space="preserve">I don't have a crystal ball but you should look at 
</t>
        </r>
        <r>
          <rPr>
            <sz val="9"/>
            <color rgb="FF000000"/>
            <rFont val="Geneva"/>
            <family val="2"/>
            <charset val="1"/>
          </rPr>
          <t xml:space="preserve">a. Revenue growth in your company in recent years
</t>
        </r>
        <r>
          <rPr>
            <sz val="9"/>
            <color rgb="FF000000"/>
            <rFont val="Geneva"/>
            <family val="2"/>
            <charset val="1"/>
          </rPr>
          <t xml:space="preserve">b. Your company's revenues, relative to the overall market size and larger players in the sector. 
</t>
        </r>
        <r>
          <rPr>
            <sz val="9"/>
            <color rgb="FF000000"/>
            <rFont val="Geneva"/>
            <family val="2"/>
            <charset val="1"/>
          </rPr>
          <t xml:space="preserve">Suggestion: Check your revenues in year 10 against the overall market and see what market share are you giving your company. Check your company's revenues against other companies in the sector.
</t>
        </r>
        <r>
          <rPr>
            <sz val="9"/>
            <color rgb="FF000000"/>
            <rFont val="Geneva"/>
            <family val="2"/>
            <charset val="1"/>
          </rPr>
          <t>Note that this number can be negative for a declining firm.</t>
        </r>
      </text>
    </comment>
    <comment ref="B26" authorId="0" shapeId="0" xr:uid="{00000000-0006-0000-0000-000015000000}">
      <text>
        <r>
          <rPr>
            <sz val="9"/>
            <color rgb="FF000000"/>
            <rFont val="Geneva"/>
            <family val="2"/>
            <charset val="1"/>
          </rPr>
          <t xml:space="preserve">Aswath Damodaran:
</t>
        </r>
        <r>
          <rPr>
            <sz val="9"/>
            <color rgb="FF000000"/>
            <rFont val="Geneva"/>
            <family val="2"/>
            <charset val="1"/>
          </rPr>
          <t xml:space="preserve">You should start by looking at your company's current pre-tax operating margin  but also look at the average for your industry. (You can check my estimates of industry averages in the last worksheet on this spreadsheet.) </t>
        </r>
      </text>
    </comment>
    <comment ref="B27" authorId="0" shapeId="0" xr:uid="{00000000-0006-0000-0000-000016000000}">
      <text>
        <r>
          <rPr>
            <sz val="9"/>
            <color rgb="FF000000"/>
            <rFont val="Geneva"/>
            <family val="2"/>
            <charset val="1"/>
          </rPr>
          <t xml:space="preserve">Aswath Damodaran:
</t>
        </r>
        <r>
          <rPr>
            <sz val="9"/>
            <color rgb="FF000000"/>
            <rFont val="Geneva"/>
            <family val="2"/>
            <charset val="1"/>
          </rPr>
          <t>This is the forecast year in which your current margin will converge on target.</t>
        </r>
      </text>
    </comment>
    <comment ref="B28" authorId="0" shapeId="0" xr:uid="{00000000-0006-0000-0000-000017000000}">
      <text>
        <r>
          <rPr>
            <sz val="9"/>
            <color rgb="FF000000"/>
            <rFont val="Geneva"/>
            <family val="2"/>
            <charset val="1"/>
          </rPr>
          <t xml:space="preserve">Aswath Damodaran:
</t>
        </r>
        <r>
          <rPr>
            <sz val="9"/>
            <color rgb="FF000000"/>
            <rFont val="Geneva"/>
            <family val="2"/>
            <charset val="1"/>
          </rPr>
          <t>You are probably wondering what this is but it is how I compute how much you are going to reinvest to keep your business growing in future years. The higher you set this number, the more efficiently you are growing and the higher the value of your growth. Again, look at your company's current number (check on the right). Look at the industry averages as well in the worksheet.</t>
        </r>
      </text>
    </comment>
    <comment ref="B30" authorId="0" shapeId="0" xr:uid="{00000000-0006-0000-0000-000018000000}">
      <text>
        <r>
          <rPr>
            <sz val="9"/>
            <color rgb="FF000000"/>
            <rFont val="Geneva"/>
            <family val="2"/>
            <charset val="1"/>
          </rPr>
          <t xml:space="preserve">Aswath Damodaran:
</t>
        </r>
        <r>
          <rPr>
            <sz val="9"/>
            <color rgb="FF000000"/>
            <rFont val="Geneva"/>
            <family val="2"/>
            <charset val="1"/>
          </rPr>
          <t>This should be today's long term riskfree rate. If you are working with a currency where the government has default risk, clean up the government bond rate to make it riskfree (by subtracting the default spread for the government).</t>
        </r>
      </text>
    </comment>
    <comment ref="J30" authorId="0" shapeId="0" xr:uid="{00000000-0006-0000-0000-000019000000}">
      <text>
        <r>
          <rPr>
            <sz val="9"/>
            <rFont val="Geneva"/>
            <family val="2"/>
          </rPr>
          <t>Aswath Damodaran:
Compare to your total market and check your market share.</t>
        </r>
      </text>
    </comment>
    <comment ref="B31" authorId="0" shapeId="0" xr:uid="{00000000-0006-0000-0000-00001A000000}">
      <text>
        <r>
          <rPr>
            <sz val="9"/>
            <rFont val="Geneva"/>
            <family val="2"/>
          </rPr>
          <t xml:space="preserve">Aswath Damodaran:
Enter the current cost of capital for your firm. If you don't know what it is, you can use the built-in worksheet to compute it. </t>
        </r>
      </text>
    </comment>
    <comment ref="J31" authorId="0" shapeId="0" xr:uid="{00000000-0006-0000-0000-00001B000000}">
      <text>
        <r>
          <rPr>
            <sz val="9"/>
            <rFont val="Geneva"/>
            <family val="2"/>
          </rPr>
          <t xml:space="preserve">Aswath Damodaran:
Determined by your target margin. </t>
        </r>
      </text>
    </comment>
    <comment ref="J32" authorId="0" shapeId="0" xr:uid="{00000000-0006-0000-0000-00001C000000}">
      <text>
        <r>
          <rPr>
            <sz val="9"/>
            <rFont val="Geneva"/>
            <family val="2"/>
          </rPr>
          <t>Aswath Damodaran:
Function of both your target margin and your sales to capital ratio.</t>
        </r>
      </text>
    </comment>
    <comment ref="B34" authorId="0" shapeId="0" xr:uid="{00000000-0006-0000-0000-00001D000000}">
      <text>
        <r>
          <rPr>
            <sz val="9"/>
            <rFont val="Geneva"/>
            <family val="2"/>
          </rPr>
          <t>Aswath Damodaran:
Check your company's annual report or 10K. If it does have options outstanding, enter the total number here (vested and non vested, in the money and out…)</t>
        </r>
      </text>
    </comment>
    <comment ref="B35" authorId="0" shapeId="0" xr:uid="{00000000-0006-0000-0000-00001E000000}">
      <text>
        <r>
          <rPr>
            <sz val="9"/>
            <rFont val="Geneva"/>
            <family val="2"/>
          </rPr>
          <t>Aswath Damodaran:
Enter the weighted average strike price of your options. (Should be in your 10K or annual report.)</t>
        </r>
      </text>
    </comment>
    <comment ref="B36" authorId="0" shapeId="0" xr:uid="{00000000-0006-0000-0000-00001F000000}">
      <text>
        <r>
          <rPr>
            <sz val="9"/>
            <color rgb="FF000000"/>
            <rFont val="Geneva"/>
            <family val="2"/>
            <charset val="1"/>
          </rPr>
          <t xml:space="preserve">Aswath Damodaran:
</t>
        </r>
        <r>
          <rPr>
            <sz val="9"/>
            <color rgb="FF000000"/>
            <rFont val="Geneva"/>
            <family val="2"/>
            <charset val="1"/>
          </rPr>
          <t>The weighted average maturity of your options should be reported in your financial statements.</t>
        </r>
      </text>
    </comment>
    <comment ref="B37" authorId="0" shapeId="0" xr:uid="{00000000-0006-0000-0000-000020000000}">
      <text>
        <r>
          <rPr>
            <sz val="9"/>
            <rFont val="Geneva"/>
            <family val="2"/>
          </rPr>
          <t>Aswath Damodaran:
If you have a standard deviation for your stock, enter that number. If not, use the industry average standard deviation from the worksheet.</t>
        </r>
      </text>
    </comment>
    <comment ref="B41" authorId="0" shapeId="0" xr:uid="{00000000-0006-0000-0000-000021000000}">
      <text>
        <r>
          <rPr>
            <sz val="9"/>
            <color rgb="FF000000"/>
            <rFont val="Geneva"/>
            <family val="2"/>
            <charset val="1"/>
          </rPr>
          <t xml:space="preserve">Aswath Damodaran:
</t>
        </r>
        <r>
          <rPr>
            <sz val="9"/>
            <color rgb="FF000000"/>
            <rFont val="Geneva"/>
            <family val="2"/>
            <charset val="1"/>
          </rPr>
          <t>Mature companies tend to have costs of capital closer to the market average. While the riskfree rate + 4.5% is a close approximation of the average, you can use a slightly higher number (riskfree rate + 6%) for mature companies in riskier businesses and a slightly lower number (risfree rate + 4%) for safer companies.</t>
        </r>
      </text>
    </comment>
    <comment ref="B44" authorId="0" shapeId="0" xr:uid="{00000000-0006-0000-0000-000022000000}">
      <text>
        <r>
          <rPr>
            <sz val="9"/>
            <rFont val="Geneva"/>
            <family val="2"/>
          </rPr>
          <t>Aswath Damodaran:
The default assumption is that competitive advantages will fade to zero over time. While this is a good assumption for many firms (about 7 in 10), there are some firms with sustainable competitive advantages (brand name, for instance), where the excess returns may continue beyond year 10. If your firm is one of those, you can enter a return on capital higher than your cost of capital in the cell below. Just don't get carried away. At the maximum, the excess return should not exceed 5% for a mature firm.</t>
        </r>
      </text>
    </comment>
    <comment ref="B45" authorId="0" shapeId="0" xr:uid="{00000000-0006-0000-0000-000023000000}">
      <text>
        <r>
          <rPr>
            <sz val="9"/>
            <color rgb="FF000000"/>
            <rFont val="Geneva"/>
            <family val="2"/>
            <charset val="1"/>
          </rPr>
          <t xml:space="preserve">Aswath Damodaran:
</t>
        </r>
        <r>
          <rPr>
            <sz val="9"/>
            <color rgb="FF000000"/>
            <rFont val="Geneva"/>
            <family val="2"/>
            <charset val="1"/>
          </rPr>
          <t xml:space="preserve">Even if you believe your firm has significant competitive advantages, don't set this number to more than 5% more than your cost of capital. </t>
        </r>
      </text>
    </comment>
    <comment ref="B47" authorId="0" shapeId="0" xr:uid="{00000000-0006-0000-0000-000024000000}">
      <text>
        <r>
          <rPr>
            <sz val="9"/>
            <rFont val="Geneva"/>
            <family val="2"/>
          </rPr>
          <t>Aswath Damodaran:
Companies at either end of the life cycle - young, growth and old, declining firms have a significant likelihood of failure. While we tend to ignore this in conventional DCF, it is worth thinking about whether you want to estimate a probability of failure. It is not easy to do but it can be done by looking at either history (with young, growth companies) or the debt market (with distressed companies).</t>
        </r>
      </text>
    </comment>
    <comment ref="B48" authorId="0" shapeId="0" xr:uid="{00000000-0006-0000-0000-000025000000}">
      <text>
        <r>
          <rPr>
            <sz val="9"/>
            <rFont val="Geneva"/>
            <family val="2"/>
          </rPr>
          <t xml:space="preserve">Aswath Damodaran
If you want to look at ways of estimating this probability, try these papers I have on the topic:
For young growth companies: http://papers.ssrn.com/sol3/papers.cfm?abstract_id=1418687  
For declining, distressed companies: http://papers.ssrn.com/sol3/papers.cfm?abstract_id=1428022 </t>
        </r>
      </text>
    </comment>
    <comment ref="B49" authorId="0" shapeId="0" xr:uid="{00000000-0006-0000-0000-000026000000}">
      <text>
        <r>
          <rPr>
            <sz val="9"/>
            <rFont val="Geneva"/>
            <family val="2"/>
          </rPr>
          <t>Aswath Damodaran:
If the firm fail and has to liquidate its assets, you need to specify what the liquidation proceeds will be tied to. For young growth companies, I would tie it to value and with distressed firms (especially ones with significant assets in place), I would use book value.</t>
        </r>
      </text>
    </comment>
    <comment ref="B50" authorId="0" shapeId="0" xr:uid="{00000000-0006-0000-0000-000027000000}">
      <text>
        <r>
          <rPr>
            <sz val="9"/>
            <rFont val="Geneva"/>
            <family val="2"/>
          </rPr>
          <t>Aswath Damodaran:
You will generally not get 100% of fair value. How much less than 100% you get will depend on whether there are lots of potential buyers for your assets and how much of a hurry you are in to liquidate. It may well be zero for a young growth company with no tangible assets.</t>
        </r>
      </text>
    </comment>
    <comment ref="B52" authorId="0" shapeId="0" xr:uid="{00000000-0006-0000-0000-000028000000}">
      <text>
        <r>
          <rPr>
            <sz val="9"/>
            <rFont val="Geneva"/>
            <family val="2"/>
          </rPr>
          <t>Aswath Damodaran:
Companies generally pay less than the marginal tax rate on their income. Some of that is due to tax deferral and others to quirks in the tax law. Over time, the conservative assumption is to require the tax rate to move towards the marginal tax rate. However, if you believe that your firm's tax benefits are permanent, you can override this assumption.</t>
        </r>
      </text>
    </comment>
    <comment ref="B54" authorId="0" shapeId="0" xr:uid="{00000000-0006-0000-0000-000029000000}">
      <text>
        <r>
          <rPr>
            <sz val="9"/>
            <rFont val="Geneva"/>
            <family val="2"/>
          </rPr>
          <t>Aswath Damodaran:
If your company has been losing money for a while, there will be accumulated losses from prior periods. Check your financial statements.</t>
        </r>
      </text>
    </comment>
    <comment ref="B55" authorId="0" shapeId="0" xr:uid="{00000000-0006-0000-0000-00002A000000}">
      <text>
        <r>
          <rPr>
            <sz val="9"/>
            <rFont val="Geneva"/>
            <family val="2"/>
          </rPr>
          <t>Aswath Damodaran:
This is the NOL from prior years carried forward into this year.</t>
        </r>
      </text>
    </comment>
    <comment ref="B58" authorId="0" shapeId="0" xr:uid="{00000000-0006-0000-0000-00002B000000}">
      <text>
        <r>
          <rPr>
            <sz val="9"/>
            <color rgb="FF000000"/>
            <rFont val="Geneva"/>
            <family val="2"/>
            <charset val="1"/>
          </rPr>
          <t xml:space="preserve">Aswath Damodaran:
</t>
        </r>
        <r>
          <rPr>
            <sz val="9"/>
            <color rgb="FF000000"/>
            <rFont val="Geneva"/>
            <family val="2"/>
            <charset val="1"/>
          </rPr>
          <t xml:space="preserve">Be VERY, VERY careful. This is a growth rate in perpetuity, after year 10. Entering numbers significantly (more than 1%) higher than the risk free rate will render your valuation close to useless.
</t>
        </r>
      </text>
    </comment>
    <comment ref="B61" authorId="0" shapeId="0" xr:uid="{00000000-0006-0000-0000-00002C000000}">
      <text>
        <r>
          <rPr>
            <sz val="9"/>
            <rFont val="Geneva"/>
            <family val="2"/>
          </rPr>
          <t>Aswath Damodaran:
If your concern is that a portion of the cash is trapped in foreign markets and will be subject to tax, when returned, enter the trapped cash balance. If you feel that the entire cash balance is being discounted because markets don't trust managers, enter the entire cash balance.</t>
        </r>
      </text>
    </comment>
    <comment ref="B62" authorId="0" shapeId="0" xr:uid="{00000000-0006-0000-0000-00002D000000}">
      <text>
        <r>
          <rPr>
            <sz val="9"/>
            <rFont val="Geneva"/>
            <family val="2"/>
          </rPr>
          <t>Aswath Damodaran:
This is the additional tax due, if the cash is trapped cash. If your concern is that all cash is being discounted by the market because of management mistrust, enter the percentage discount to apply to cash.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D40" authorId="0" shapeId="0" xr:uid="{00000000-0006-0000-0700-000001000000}">
      <text>
        <r>
          <rPr>
            <sz val="9"/>
            <rFont val="Geneva"/>
            <family val="2"/>
          </rPr>
          <t>Aswath Damodaran:
By expensing R&amp;D rather than capitalizing it, the firm gets a tax benefit. This is the dollar value of that tax benefit.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B11" authorId="0" shapeId="0" xr:uid="{00000000-0006-0000-0900-000001000000}">
      <text>
        <r>
          <rPr>
            <sz val="9"/>
            <rFont val="Geneva"/>
            <family val="2"/>
          </rPr>
          <t>Aswath Damodaran:
Use a sector average beta, if need be.</t>
        </r>
      </text>
    </comment>
    <comment ref="B13" authorId="0" shapeId="0" xr:uid="{00000000-0006-0000-0900-000002000000}">
      <text>
        <r>
          <rPr>
            <sz val="9"/>
            <rFont val="Geneva"/>
            <family val="2"/>
          </rPr>
          <t>Aswath Damodaran:
If you pick operating regions or countries, please input the revenues by country or region in the table to the right.</t>
        </r>
      </text>
    </comment>
    <comment ref="B15" authorId="0" shapeId="0" xr:uid="{00000000-0006-0000-0900-000003000000}">
      <text>
        <r>
          <rPr>
            <sz val="9"/>
            <rFont val="Geneva"/>
            <family val="2"/>
          </rPr>
          <t>Aswath Damodaran:
If your company has risk exposure in emergiing markets, incorporate that risk premiums here. See worksheet on country risk premiums.</t>
        </r>
      </text>
    </comment>
    <comment ref="B19" authorId="0" shapeId="0" xr:uid="{00000000-0006-0000-0900-000004000000}">
      <text>
        <r>
          <rPr>
            <sz val="9"/>
            <rFont val="Geneva"/>
            <family val="2"/>
          </rPr>
          <t>Aswath Damodaran:
Interest expense (gross) from most recent financial statement.</t>
        </r>
      </text>
    </comment>
    <comment ref="B20" authorId="0" shapeId="0" xr:uid="{00000000-0006-0000-0900-000005000000}">
      <text>
        <r>
          <rPr>
            <sz val="9"/>
            <rFont val="Geneva"/>
            <family val="2"/>
          </rPr>
          <t>Aswath Damodaran:
Generally found in footnotes to financial statements.</t>
        </r>
      </text>
    </comment>
    <comment ref="B24" authorId="0" shapeId="0" xr:uid="{00000000-0006-0000-0900-000006000000}">
      <text>
        <r>
          <rPr>
            <sz val="9"/>
            <rFont val="Geneva"/>
            <family val="2"/>
          </rPr>
          <t>Aswath Damodaran:
1: Large market cap (&gt;$5 billion) and safe.
2: Small market cap (&lt;$5 billion) or risky.
If company has volatile earnings or is in risky business, use 2, even if large market cap.</t>
        </r>
      </text>
    </comment>
    <comment ref="B25" authorId="0" shapeId="0" xr:uid="{00000000-0006-0000-0900-000007000000}">
      <text>
        <r>
          <rPr>
            <sz val="9"/>
            <rFont val="Geneva"/>
            <family val="2"/>
          </rPr>
          <t>Aswath Damodaran:
Current, long term cost of borrowing money. If you have a rating use it, if not use a synthetic rating. See the worksheet attached.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B1" authorId="0" shapeId="0" xr:uid="{00000000-0006-0000-0A00-000001000000}">
      <text>
        <r>
          <rPr>
            <sz val="9"/>
            <rFont val="Geneva"/>
            <family val="2"/>
          </rPr>
          <t>Microsoft Office User:
This is the estimate for the ERP for a mature market, that then updates all of the ERP for other countries by adding the CRP to it. I update the ERP for the S&amp;P 500 at the start of every month on my website (damodaran.com) and if you want, you can change this number to ther most recent update.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Aswath Damodaran</author>
  </authors>
  <commentList>
    <comment ref="F5" authorId="0" shapeId="0" xr:uid="{00000000-0006-0000-0B00-000001000000}">
      <text>
        <r>
          <rPr>
            <sz val="9"/>
            <rFont val="Geneva"/>
            <family val="2"/>
          </rPr>
          <t xml:space="preserve">Aswath Damodaran:
If your most recent year's operating income is unusually low or high, you can use the average operating income from the last few years. </t>
        </r>
      </text>
    </comment>
    <comment ref="F6" authorId="0" shapeId="0" xr:uid="{00000000-0006-0000-0B00-000002000000}">
      <text>
        <r>
          <rPr>
            <sz val="9"/>
            <rFont val="Geneva"/>
            <family val="2"/>
          </rPr>
          <t>Aswath Damodaran:
Enter the interest expense from the most recent income statement.</t>
        </r>
      </text>
    </comment>
    <comment ref="F7" authorId="0" shapeId="0" xr:uid="{00000000-0006-0000-0B00-000003000000}">
      <text>
        <r>
          <rPr>
            <sz val="9"/>
            <rFont val="Geneva"/>
            <family val="2"/>
          </rPr>
          <t>Aswath Damodaran:
I use a 10 year government bond rate.</t>
        </r>
      </text>
    </comment>
  </commentList>
</comments>
</file>

<file path=xl/sharedStrings.xml><?xml version="1.0" encoding="utf-8"?>
<sst xmlns="http://schemas.openxmlformats.org/spreadsheetml/2006/main" count="1295" uniqueCount="822">
  <si>
    <t>Date of valuation</t>
  </si>
  <si>
    <t>Important: Before you run this spreadsheet, go into preferences in Excel and check under Calculation options</t>
  </si>
  <si>
    <t>Company name</t>
  </si>
  <si>
    <t>Qualcomm</t>
  </si>
  <si>
    <t>There should be a check against the iteration box. If there is not, you will get circular reasoning errors.</t>
  </si>
  <si>
    <t>Numbers from your base year below ( in consistent units)</t>
  </si>
  <si>
    <t>This year</t>
  </si>
  <si>
    <t>Last year</t>
  </si>
  <si>
    <t>Country of incorporation</t>
  </si>
  <si>
    <t>United States</t>
  </si>
  <si>
    <t>Industry (US)</t>
  </si>
  <si>
    <t>Software (System &amp; Application)</t>
  </si>
  <si>
    <t>Industry (Global)</t>
  </si>
  <si>
    <t>Last 10K</t>
  </si>
  <si>
    <t>Years since last 10K</t>
  </si>
  <si>
    <t>Revenues</t>
  </si>
  <si>
    <t>Operating income or EBIT</t>
  </si>
  <si>
    <t>Interest expense</t>
  </si>
  <si>
    <t>Book value of equity</t>
  </si>
  <si>
    <t>Book value of debt</t>
  </si>
  <si>
    <t>Do you have R&amp;D expenses to capitalize?</t>
  </si>
  <si>
    <t>No</t>
  </si>
  <si>
    <t xml:space="preserve"> If you want to capitalize R&amp;D, you have to input the numbers into the R&amp;D worksheet. </t>
  </si>
  <si>
    <t>Do you have operating lease commitments?</t>
  </si>
  <si>
    <t>If you have operating leases, please enter your lease commitments in the lease worksheet below and I will convert to debt</t>
  </si>
  <si>
    <t>Cash and Marketable Securities</t>
  </si>
  <si>
    <t>Cross holdings and other non-operating assets</t>
  </si>
  <si>
    <t>Minority interests</t>
  </si>
  <si>
    <t>Number of shares outstanding =</t>
  </si>
  <si>
    <t>Current stock price =</t>
  </si>
  <si>
    <t>Computed numbers: Here is what your company's numbers look like, relative to industry.</t>
  </si>
  <si>
    <t>Current Cost of Capital Calculations</t>
  </si>
  <si>
    <t>Effective tax rate =</t>
  </si>
  <si>
    <t>If you are not working in US dollars, you should add the inflation differential to the industry averages.</t>
  </si>
  <si>
    <t>Beta:</t>
  </si>
  <si>
    <t>Marginal tax rate =</t>
  </si>
  <si>
    <t>Company</t>
  </si>
  <si>
    <t>Industry (US data)</t>
  </si>
  <si>
    <t>Industry (Global data)</t>
  </si>
  <si>
    <t>Implied Risk Premium:</t>
  </si>
  <si>
    <t>The value drivers below:</t>
  </si>
  <si>
    <t>Revenue growth in the most recent year =</t>
  </si>
  <si>
    <t>Cost of Equity:</t>
  </si>
  <si>
    <t>Compounded annual revenue growth rate over next 5 years =</t>
  </si>
  <si>
    <t>Growth Lever</t>
  </si>
  <si>
    <t>Pre-tax operating margin in the most recent year =</t>
  </si>
  <si>
    <t>Cost of Debt:</t>
  </si>
  <si>
    <t xml:space="preserve">Use a 10th year growth rate= </t>
  </si>
  <si>
    <t>Yes</t>
  </si>
  <si>
    <t xml:space="preserve">(default will be terminal growth rate) </t>
  </si>
  <si>
    <t>Sales to capital ratio in most recent year =</t>
  </si>
  <si>
    <t xml:space="preserve">10th year growth rate = </t>
  </si>
  <si>
    <t>Return on invested capital in most recent year=</t>
  </si>
  <si>
    <t>Market Value of Equity:</t>
  </si>
  <si>
    <t>Target pre-tax operating margin (EBIT as % of sales in year 10) =</t>
  </si>
  <si>
    <t>Profitability Lever</t>
  </si>
  <si>
    <t>Standard deviation in stock prices =</t>
  </si>
  <si>
    <t>Weight of Equity:</t>
  </si>
  <si>
    <t>Year of convergence</t>
  </si>
  <si>
    <t>Speed of convergence level</t>
  </si>
  <si>
    <t>Cost of capital =</t>
  </si>
  <si>
    <t>Weight of Debt:</t>
  </si>
  <si>
    <t>Sales to capital ratio  (for computing reinvestment) =</t>
  </si>
  <si>
    <t>Efficency of Growth Lever</t>
  </si>
  <si>
    <t xml:space="preserve">Market numbers </t>
  </si>
  <si>
    <t>Valuation Output Feedback (for you to use to fine tune your inputs, if you want)</t>
  </si>
  <si>
    <t>WACC:</t>
  </si>
  <si>
    <t>Riskfree rate</t>
  </si>
  <si>
    <t>Revenues in year 10, based on your revenue growth =</t>
  </si>
  <si>
    <t>Initial cost of capital =</t>
  </si>
  <si>
    <t>Pre-tax Operating Income in year 10, based on your operating margin =</t>
  </si>
  <si>
    <t>Other inputs</t>
  </si>
  <si>
    <t>Return on invested capital in year 10, based on your sales/capital ratio =</t>
  </si>
  <si>
    <t>Do you have employee options outstanding?</t>
  </si>
  <si>
    <t>Check the Diagnostics worksheet for more details.</t>
  </si>
  <si>
    <t>Number of options outstanding =</t>
  </si>
  <si>
    <t>Average strike price =</t>
  </si>
  <si>
    <t>Average maturity =</t>
  </si>
  <si>
    <t>Standard deviation on stock price =</t>
  </si>
  <si>
    <t xml:space="preserve">Default assumptions. </t>
  </si>
  <si>
    <t>In stable growth, I will assume that your firm will have a cost of capital similar to that of typical mature companies (riskfree rate + 4.5%)</t>
  </si>
  <si>
    <t>Do you want to override this assumption =</t>
  </si>
  <si>
    <t>Mature companies generally see their risk levels approach the average</t>
  </si>
  <si>
    <t>If yes, enter the cost of capital after year 10 =</t>
  </si>
  <si>
    <t>Though some sectors, even in stable growth, may have higher risk.</t>
  </si>
  <si>
    <t>I will assume that your firm will earn a return on capital equal to its cost of capital after year 10. I am assuming that whatever competitive advantages you have today will fade over time.</t>
  </si>
  <si>
    <t>Mature companies find it difficult to generate returns that exceed the cost of capital</t>
  </si>
  <si>
    <t>If yes, enter the return on capital you expect after year 10</t>
  </si>
  <si>
    <t>But there are significant exceptions among companies with long-lasting competitive advantages.</t>
  </si>
  <si>
    <t>I will assume that your firm has no chance of failure over the foreseeable future.</t>
  </si>
  <si>
    <t>Many young, growth companies fail, especially if they have trouble raising cash. Many distressed companies fail, because they have trouble making debt payments.</t>
  </si>
  <si>
    <t>If yes, enter the probability of failure =</t>
  </si>
  <si>
    <t>Tough to estimate but a key input.</t>
  </si>
  <si>
    <t>What do you want to tie your proceeds in failure to?</t>
  </si>
  <si>
    <t>V</t>
  </si>
  <si>
    <t>B: Book value of capital, V= Estimated fair value for the company</t>
  </si>
  <si>
    <t>Enter the distress proceeds as percentage of book or fair value</t>
  </si>
  <si>
    <t>This can be zero, if the assets will be worth nothing if the firm fails.</t>
  </si>
  <si>
    <t>I will assume that your effective tax rate will adjust to your marginal tax rate by your terminal year. If you override this assumption, I will leave the tax rate at your effective tax rate.</t>
  </si>
  <si>
    <t>I will assume that you have no losses carried forward from prior years ( NOL) coming into the valuation. If you have a money losing company, you may want to override tis.</t>
  </si>
  <si>
    <t>Check the financial statements.</t>
  </si>
  <si>
    <t>If yes, enter the NOL that you are carrying over into year 1</t>
  </si>
  <si>
    <t>An NOL will shield your income from taxes, even after you start making money.</t>
  </si>
  <si>
    <t>I will assume that the growth rate in perpetuity will be equal to the risk free rate. This allows for both valuation consistency and prevents "impossible" growth rates.</t>
  </si>
  <si>
    <t>If yes, enter the growth rate in perpetuity</t>
  </si>
  <si>
    <t>This can be negative, if you feel the company will decline (and disappear) after growth is done. If you let it exceed the risk free rate, you are on your own in uncharted territory.</t>
  </si>
  <si>
    <t>I have assumed that none of the cash is trapped (in foreign countries) and that there is no additional tax liability coming due and that cash is a neutral asset.</t>
  </si>
  <si>
    <t>Do you want to override this assumption</t>
  </si>
  <si>
    <t>If yes, enter trapped cash (if taxes) or entire balance (if mistrust)</t>
  </si>
  <si>
    <t>Cash that is trapped in foreign markets (and subject to additoinal tax) or cash that is being discounted by the market (because of management mistrust)</t>
  </si>
  <si>
    <t>&amp; Average tax rate of the foreign markets where the cash is trapped</t>
  </si>
  <si>
    <t>Additional tax rate due on trapped cash or discount being applied to cash balance because of mistrust.</t>
  </si>
  <si>
    <t>Base year</t>
  </si>
  <si>
    <t>Terminal year</t>
  </si>
  <si>
    <t>Revenue growth rate</t>
  </si>
  <si>
    <t>EBIT (Operating) margin</t>
  </si>
  <si>
    <t>EBIT (Operating income)</t>
  </si>
  <si>
    <t>Tax rate</t>
  </si>
  <si>
    <t>EBIT(1-t)</t>
  </si>
  <si>
    <t xml:space="preserve"> - Reinvestment</t>
  </si>
  <si>
    <t>FCFF</t>
  </si>
  <si>
    <t>NOL</t>
  </si>
  <si>
    <t>Cost of capital</t>
  </si>
  <si>
    <t>Cumulated discount factor</t>
  </si>
  <si>
    <t>PV(FCFF)</t>
  </si>
  <si>
    <t>Terminal cash flow</t>
  </si>
  <si>
    <t>Terminal cost of capital</t>
  </si>
  <si>
    <t>Terminal value</t>
  </si>
  <si>
    <t>PV(Terminal value)</t>
  </si>
  <si>
    <t>PV (CF over next 10 years)</t>
  </si>
  <si>
    <t>Sum of PV</t>
  </si>
  <si>
    <t>Probability of failure =</t>
  </si>
  <si>
    <t>Proceeds if firm fails =</t>
  </si>
  <si>
    <t>Value of operating assets =</t>
  </si>
  <si>
    <t xml:space="preserve"> - Debt</t>
  </si>
  <si>
    <t xml:space="preserve"> - Minority interests</t>
  </si>
  <si>
    <t xml:space="preserve"> +  Cash</t>
  </si>
  <si>
    <t xml:space="preserve"> + Non-operating assets</t>
  </si>
  <si>
    <t>Value of equity</t>
  </si>
  <si>
    <t xml:space="preserve"> - Value of options</t>
  </si>
  <si>
    <t>Value of equity in common stock</t>
  </si>
  <si>
    <t>Number of shares</t>
  </si>
  <si>
    <t>Estimated value/share</t>
  </si>
  <si>
    <t>Price</t>
  </si>
  <si>
    <t>Price as % of value</t>
  </si>
  <si>
    <t>Implied variables</t>
  </si>
  <si>
    <t>After year 10</t>
  </si>
  <si>
    <t>Sales to capital ratio</t>
  </si>
  <si>
    <t>Invested capital</t>
  </si>
  <si>
    <t>ROIC</t>
  </si>
  <si>
    <t>The Story</t>
  </si>
  <si>
    <t>Tell your story about the company. Keep it focuses on the company's businesses and tie it into the three key levers of value: cash flows, growth and risk</t>
  </si>
  <si>
    <t>The Assumptions</t>
  </si>
  <si>
    <t>Years 1-5</t>
  </si>
  <si>
    <t>Years 6-10</t>
  </si>
  <si>
    <t>Link to story</t>
  </si>
  <si>
    <t>Revenues (a)</t>
  </si>
  <si>
    <t>Tie each assumption to the part of your story that relates to it.</t>
  </si>
  <si>
    <t>Operating margin (b)</t>
  </si>
  <si>
    <t>Reinvestment (c )</t>
  </si>
  <si>
    <t>Sales to capital ratio =</t>
  </si>
  <si>
    <t>RIR =</t>
  </si>
  <si>
    <t>Return on capital</t>
  </si>
  <si>
    <t>Marginal ROIC =</t>
  </si>
  <si>
    <t>Cost of capital (d)</t>
  </si>
  <si>
    <t>The Cash Flows</t>
  </si>
  <si>
    <t>Operating Margin</t>
  </si>
  <si>
    <t>EBIT</t>
  </si>
  <si>
    <t>EBIT (1-t)</t>
  </si>
  <si>
    <t xml:space="preserve">Reinvestment </t>
  </si>
  <si>
    <t>These are the numbers that come from your assumptions. The revenues over time reflect your revenue growth, the operating margins evolve towards your target margin and your tax rate will change, if you have set it to. The reinvestment is estimated using the sales to capital ratio for the first 10 years and based on a reinvestment rate in stable growth (g/ ROC).</t>
  </si>
  <si>
    <t>The Value</t>
  </si>
  <si>
    <t>This is the output from your valuation. It reflects your cash flows being discounted back at the cost of capital to get to your operating asset value, which then gets adjusted for the likelihood that your firm will not make it. We add cash and non-operating assets, subtract out debt and minority interests to get to value of equity.</t>
  </si>
  <si>
    <t>Adjustment for distress</t>
  </si>
  <si>
    <t xml:space="preserve"> - Debt &amp; Mnority Interests</t>
  </si>
  <si>
    <t xml:space="preserve"> + Cash &amp; Other Non-operating assets</t>
  </si>
  <si>
    <t xml:space="preserve"> - Value of equity options</t>
  </si>
  <si>
    <t>Value per share</t>
  </si>
  <si>
    <t>Stock was trading at =</t>
  </si>
  <si>
    <t>First X months: Last year</t>
  </si>
  <si>
    <t>First X months: Current year</t>
  </si>
  <si>
    <t>Trailing 12 month</t>
  </si>
  <si>
    <t>R&amp;D expense</t>
  </si>
  <si>
    <t>Interest expenses</t>
  </si>
  <si>
    <t>Cash and cross holdings</t>
  </si>
  <si>
    <t xml:space="preserve">Non-operating assets </t>
  </si>
  <si>
    <t>Lease commitments</t>
  </si>
  <si>
    <t>Year 1</t>
  </si>
  <si>
    <t>NA</t>
  </si>
  <si>
    <t>Year 2</t>
  </si>
  <si>
    <t>Copy into operating lease worksheet</t>
  </si>
  <si>
    <t>Year 3</t>
  </si>
  <si>
    <t>Year 4</t>
  </si>
  <si>
    <t>Year 5</t>
  </si>
  <si>
    <t>Beyond year 5</t>
  </si>
  <si>
    <t>Current year's lease expense</t>
  </si>
  <si>
    <t>VALUATION DIAGNOSTICS</t>
  </si>
  <si>
    <t>Invested capital at start of valuation</t>
  </si>
  <si>
    <t>Invested capital at end of valuation</t>
  </si>
  <si>
    <t>Change in invested capital over 10 years</t>
  </si>
  <si>
    <t>Change in EBIT*(1–t) (after-tax operating income) over 10 years</t>
  </si>
  <si>
    <t>Marginal ROIC over 10 years</t>
  </si>
  <si>
    <t>ROIC at end of valuation</t>
  </si>
  <si>
    <t>Average WACC over the 10 years (compounded)</t>
  </si>
  <si>
    <t>Your calculated value as a percent of current price</t>
  </si>
  <si>
    <t>Inputs</t>
  </si>
  <si>
    <t>If calculated value is negative or looks too low</t>
  </si>
  <si>
    <t>If calculated value looks too high</t>
  </si>
  <si>
    <t>Revenue growth rate (input cell B3)</t>
  </si>
  <si>
    <t>Increase revenue growth rate</t>
  </si>
  <si>
    <t>Decrease revenue growth rate</t>
  </si>
  <si>
    <t>Last period EBIT as % of revenue (Input cell B14)</t>
  </si>
  <si>
    <t>Increase the target pre-tax operating margin</t>
  </si>
  <si>
    <t>Decrease the target pre-tax operating margin</t>
  </si>
  <si>
    <t xml:space="preserve"> </t>
  </si>
  <si>
    <t>Sales to Capital Ratio or reinvestment (Input cell B15)</t>
  </si>
  <si>
    <t>Decrease the sales/capital ratio</t>
  </si>
  <si>
    <t>Increase the sales/capital ratio</t>
  </si>
  <si>
    <t>Return on capital in perpetuity (B30 &amp; B31)</t>
  </si>
  <si>
    <t>Increase relative to your cost of capital</t>
  </si>
  <si>
    <t>If higher than your cost of capital, lower towards your cost of capital</t>
  </si>
  <si>
    <t>T</t>
  </si>
  <si>
    <t>Year</t>
  </si>
  <si>
    <t>Revenue Growth Rate</t>
  </si>
  <si>
    <t>Pre-Tax Operating Margin</t>
  </si>
  <si>
    <t>Pre-Tax Operating Income</t>
  </si>
  <si>
    <t>Taxes</t>
  </si>
  <si>
    <t>After-Tax Operating Income</t>
  </si>
  <si>
    <t>Traling 12 month</t>
  </si>
  <si>
    <t>Change in Revenues</t>
  </si>
  <si>
    <t>Sales to Capital</t>
  </si>
  <si>
    <t>Reinvestment</t>
  </si>
  <si>
    <t>Capital Invested</t>
  </si>
  <si>
    <t>Implied ROC</t>
  </si>
  <si>
    <t>Beta</t>
  </si>
  <si>
    <t>Cost of Equity</t>
  </si>
  <si>
    <t>Pre-Tax Cost of Debt</t>
  </si>
  <si>
    <t>Tax Savings</t>
  </si>
  <si>
    <t>After-Tax Cost of Debt</t>
  </si>
  <si>
    <t>Debt Ratio</t>
  </si>
  <si>
    <t>Cost of Capital</t>
  </si>
  <si>
    <t>Cumulated Cost of Capital</t>
  </si>
  <si>
    <t>Terminal Value</t>
  </si>
  <si>
    <t>Present Value</t>
  </si>
  <si>
    <t>Operating Lease Converter</t>
  </si>
  <si>
    <t>The yellow cells are input cells. Please enter them.</t>
  </si>
  <si>
    <t>Operating lease expense in current year =</t>
  </si>
  <si>
    <t>Operating Lease Commitments (From footnote to financials)</t>
  </si>
  <si>
    <t>Commitment</t>
  </si>
  <si>
    <t>! Year 1 is next year, ….</t>
  </si>
  <si>
    <t>6 and beyond</t>
  </si>
  <si>
    <t>Output</t>
  </si>
  <si>
    <t>Pre-tax Cost of Debt =</t>
  </si>
  <si>
    <t>! If you do not have a cost of debt, use the synthetic rating estimator</t>
  </si>
  <si>
    <t>Number of years embedded in yr 6 estimate =</t>
  </si>
  <si>
    <t>! I use the average lease expense over the first five years</t>
  </si>
  <si>
    <t>to estimate the number of years of expenses in yr 6</t>
  </si>
  <si>
    <t>Converting Operating Leases into debt</t>
  </si>
  <si>
    <t>! Commitment beyond year 6 converted into an annuity for ten years</t>
  </si>
  <si>
    <t>Debt Value of leases =</t>
  </si>
  <si>
    <t>Restated Financials</t>
  </si>
  <si>
    <t>Depreciation on Operating Lease Asset =</t>
  </si>
  <si>
    <t>! I use straight line depreciation</t>
  </si>
  <si>
    <t>Adjustment to Operating Earnings =</t>
  </si>
  <si>
    <t>! Add this amount to pre-tax operating income</t>
  </si>
  <si>
    <t>Adjustment to Total Debt outstanding =</t>
  </si>
  <si>
    <t>! Add this amount to debt</t>
  </si>
  <si>
    <t>Adjustment to Depreciation =</t>
  </si>
  <si>
    <t>R &amp; D Converter</t>
  </si>
  <si>
    <t>This spreadsheet converts R&amp;D expenses from operating to capital expenses. It makes the appropriate adjustments to operating income, net</t>
  </si>
  <si>
    <t>income, the book value of assets and the book value of equity.</t>
  </si>
  <si>
    <t>Over how many years do you want to amortize R&amp;D expenses</t>
  </si>
  <si>
    <t>! If in doubt, use the lookup table below</t>
  </si>
  <si>
    <t>Enter the current year's R&amp;D expense =</t>
  </si>
  <si>
    <t>The maximum allowed is ten years</t>
  </si>
  <si>
    <t>Enter R&amp; D expenses for past years: the number of years that you will need to enter will be determined by the amortization period</t>
  </si>
  <si>
    <t>Do not input numbers in the first column (Year). It will get automatically updated  based on the input above.</t>
  </si>
  <si>
    <t>R&amp; D Expenses</t>
  </si>
  <si>
    <t>! Year -1 is the year prior to the current year</t>
  </si>
  <si>
    <t>! Year -2 is the two years prior to the current year</t>
  </si>
  <si>
    <t>R&amp;D Expense</t>
  </si>
  <si>
    <t>Unamortized portion</t>
  </si>
  <si>
    <t>Amortization this year</t>
  </si>
  <si>
    <t>Current</t>
  </si>
  <si>
    <t>Value of Research Asset =</t>
  </si>
  <si>
    <t>Amortization of asset for current year =</t>
  </si>
  <si>
    <t>Adjustment to Operating Income =</t>
  </si>
  <si>
    <t>! A positive number indicates an increase in operating income (add to reported EBIT)</t>
  </si>
  <si>
    <t>Tax Effect of R&amp;D Expensing</t>
  </si>
  <si>
    <t>Valuing Options or Warrants</t>
  </si>
  <si>
    <t>Enter the current stock price =</t>
  </si>
  <si>
    <t>Enter the strike price on the option =</t>
  </si>
  <si>
    <t>Enter the expiration of the option =</t>
  </si>
  <si>
    <t>Enter the standard deviation in stock prices =</t>
  </si>
  <si>
    <t>(volatility)</t>
  </si>
  <si>
    <t>Enter the annualized dividend yield on stock =</t>
  </si>
  <si>
    <t>Enter the treasury bond rate =</t>
  </si>
  <si>
    <t>Enter the number of warrants (options) outstanding =</t>
  </si>
  <si>
    <t>Enter the number of shares outstanding =</t>
  </si>
  <si>
    <t>Do not input any numbers below this line</t>
  </si>
  <si>
    <t>VALUING WARRANTS WHEN THERE IS DILUTION</t>
  </si>
  <si>
    <t>Stock Price=</t>
  </si>
  <si>
    <t># Warrants issued=</t>
  </si>
  <si>
    <t>Strike Price=</t>
  </si>
  <si>
    <t># Shares outstanding=</t>
  </si>
  <si>
    <t>Adjusted S =</t>
  </si>
  <si>
    <t>T.Bond rate=</t>
  </si>
  <si>
    <t>Adjusted K =</t>
  </si>
  <si>
    <t>Variance=</t>
  </si>
  <si>
    <t>Expiration (in years) =</t>
  </si>
  <si>
    <t>Annualized dividend yield=</t>
  </si>
  <si>
    <t>Div. Adj. interest rate=</t>
  </si>
  <si>
    <t xml:space="preserve">d1 = </t>
  </si>
  <si>
    <t>N (d1) =</t>
  </si>
  <si>
    <t xml:space="preserve">d2 = </t>
  </si>
  <si>
    <t>N (d2) =</t>
  </si>
  <si>
    <t xml:space="preserve">Value per option = </t>
  </si>
  <si>
    <t>Value of all options outstanding =</t>
  </si>
  <si>
    <t>You can use this spreadsheet to compute your cost of capital. You can either use the built-in data to compute key inputs (beta, equity risk premium, default spread) or enter them directly. If you choose to use the built in ERP data, you can update the ERP numbers to reflect a more current mature market premuum (since the spreadsheet uses the start of the year numbers).</t>
  </si>
  <si>
    <t>Estimation of Current Cost of Capital</t>
  </si>
  <si>
    <t>Operating Countries ERP calculator</t>
  </si>
  <si>
    <t>Country</t>
  </si>
  <si>
    <t>ERP</t>
  </si>
  <si>
    <t>Weight</t>
  </si>
  <si>
    <t>Weighted ERP</t>
  </si>
  <si>
    <t>Equity</t>
  </si>
  <si>
    <t>The last two rows in each of country/region risk premium tables is set aside for your input to provide you with flexibility to enter some numbers directly. For instance, assume that you have a company that breaks its revenues down into three countries and then puts the rest into "Rest of the World". You can enter the "Rest of the World" in one of these two rows and enter an equity risk premium for the rest of the world. The easiest way to do that is to go into the country equity risk premium worksheet and change the GDP for the three countries that you have data for to zero and compute the global weighted average ERP for the remaining countries. With the regional worksheet, you can use the last two rows to enter the data for an individual country (usually the domestic country) that might be broken out though the rest of the revenues are broken down by region. You can look up the ERP for the country in the country ERP worksheet.</t>
  </si>
  <si>
    <t>Number of Shares outstanding =</t>
  </si>
  <si>
    <t>Current Market Price per share =</t>
  </si>
  <si>
    <t>Approach for estimating beta</t>
  </si>
  <si>
    <t>Single Business(US)</t>
  </si>
  <si>
    <t>If direct input, enter levered beta (or regression beta)</t>
  </si>
  <si>
    <t>Unlevered beta =</t>
  </si>
  <si>
    <t>Riskfree Rate =</t>
  </si>
  <si>
    <t>What approach do you want to use to input ERP?</t>
  </si>
  <si>
    <t>Operating countries</t>
  </si>
  <si>
    <t>Direct input for ERP (if you choose "will input"</t>
  </si>
  <si>
    <t>Equity Risk Premium used in cost of equity =</t>
  </si>
  <si>
    <t>Debt</t>
  </si>
  <si>
    <t>Book Value of Straight Debt =</t>
  </si>
  <si>
    <t>Total</t>
  </si>
  <si>
    <t>Interest Expense on Debt =</t>
  </si>
  <si>
    <t>Operating Regions ERP calculator</t>
  </si>
  <si>
    <t>Average Maturity =</t>
  </si>
  <si>
    <t>Region</t>
  </si>
  <si>
    <t>Approach for estimating pre-tax cost of debt</t>
  </si>
  <si>
    <t>Synthetic rating</t>
  </si>
  <si>
    <t>Africa</t>
  </si>
  <si>
    <t>If direct input, input the pre-tax cost of debt</t>
  </si>
  <si>
    <t>Asia</t>
  </si>
  <si>
    <t>If actual rating, input the rating</t>
  </si>
  <si>
    <t>Aa2/AA</t>
  </si>
  <si>
    <t>Australia &amp; New Zealand</t>
  </si>
  <si>
    <t>If synethetic rating, input the type of company</t>
  </si>
  <si>
    <t>Caribbean</t>
  </si>
  <si>
    <t>Central and South America</t>
  </si>
  <si>
    <t>Tax Rate =</t>
  </si>
  <si>
    <t>Eastern Europe &amp; Russia</t>
  </si>
  <si>
    <t>Middle East</t>
  </si>
  <si>
    <t>Book Value of Convertible Debt =</t>
  </si>
  <si>
    <t>North America</t>
  </si>
  <si>
    <t>Interest Expense on Convertible =</t>
  </si>
  <si>
    <t>Western Europe</t>
  </si>
  <si>
    <t>Maturity of Convertible Bond =</t>
  </si>
  <si>
    <t>Market Value of Convertible =</t>
  </si>
  <si>
    <t>Debt value of operating leases =</t>
  </si>
  <si>
    <t>Multi Business (US Industry Averages)</t>
  </si>
  <si>
    <t>Preferred Stock</t>
  </si>
  <si>
    <t>Business</t>
  </si>
  <si>
    <t>EV/Sales</t>
  </si>
  <si>
    <t>Estimated Value</t>
  </si>
  <si>
    <t>Unlevered Beta</t>
  </si>
  <si>
    <t>Number of Preferred Shares =</t>
  </si>
  <si>
    <t>Advertising</t>
  </si>
  <si>
    <t>Current Market Price per Share=</t>
  </si>
  <si>
    <t>Computer Services</t>
  </si>
  <si>
    <t>Annual Dividend per Share =</t>
  </si>
  <si>
    <t>Estimating Market Value of Straight Debt =</t>
  </si>
  <si>
    <t>Estimated Value of Straight Debt in Convertible =</t>
  </si>
  <si>
    <t>Value of Debt in Operating leases =</t>
  </si>
  <si>
    <t>Estimated Value of Equity in Convertible =</t>
  </si>
  <si>
    <t>Levered Beta for equity =</t>
  </si>
  <si>
    <t xml:space="preserve">Debt </t>
  </si>
  <si>
    <t>Capital</t>
  </si>
  <si>
    <t>Market Value</t>
  </si>
  <si>
    <t>Weight in Cost of Capital</t>
  </si>
  <si>
    <t>Cost of Component</t>
  </si>
  <si>
    <t>Multi Business (Global Industry Averages)</t>
  </si>
  <si>
    <t>Computers/Peripherals</t>
  </si>
  <si>
    <t>Mature Market ERP +</t>
  </si>
  <si>
    <t>Updated August 1, 2020</t>
  </si>
  <si>
    <t>Moody's rating</t>
  </si>
  <si>
    <t>Adj. Default Spread</t>
  </si>
  <si>
    <t>Equity Risk Premium</t>
  </si>
  <si>
    <t>Country Risk Premium</t>
  </si>
  <si>
    <t>Corporate Tax Rate</t>
  </si>
  <si>
    <t>Abu Dhabi</t>
  </si>
  <si>
    <t>Aa2</t>
  </si>
  <si>
    <t>Albania</t>
  </si>
  <si>
    <t>B1</t>
  </si>
  <si>
    <t>Algeria</t>
  </si>
  <si>
    <t>Andorra (Principality of)</t>
  </si>
  <si>
    <t>Baa2</t>
  </si>
  <si>
    <t>Angola</t>
  </si>
  <si>
    <t>B3</t>
  </si>
  <si>
    <t>Argentina</t>
  </si>
  <si>
    <t>Ca</t>
  </si>
  <si>
    <t>Armenia</t>
  </si>
  <si>
    <t>Ba3</t>
  </si>
  <si>
    <t>Aruba</t>
  </si>
  <si>
    <t>Baa1</t>
  </si>
  <si>
    <t>Australia</t>
  </si>
  <si>
    <t>Aaa</t>
  </si>
  <si>
    <t>Austria</t>
  </si>
  <si>
    <t>Aa1</t>
  </si>
  <si>
    <t>Azerbaijan</t>
  </si>
  <si>
    <t>Ba2</t>
  </si>
  <si>
    <t>Bahamas</t>
  </si>
  <si>
    <t>Bahrain</t>
  </si>
  <si>
    <t>B2</t>
  </si>
  <si>
    <t>Bangladesh</t>
  </si>
  <si>
    <t>Barbados</t>
  </si>
  <si>
    <t>Caa1</t>
  </si>
  <si>
    <t>Belarus</t>
  </si>
  <si>
    <t>Belgium</t>
  </si>
  <si>
    <t>Aa3</t>
  </si>
  <si>
    <t>Belize</t>
  </si>
  <si>
    <t>Benin</t>
  </si>
  <si>
    <t>Bermuda</t>
  </si>
  <si>
    <t>A2</t>
  </si>
  <si>
    <t>Bolivia</t>
  </si>
  <si>
    <t>Bosnia and Herzegovina</t>
  </si>
  <si>
    <t>Botswana</t>
  </si>
  <si>
    <t>Brazil</t>
  </si>
  <si>
    <t>Brunei</t>
  </si>
  <si>
    <t>Bulgaria</t>
  </si>
  <si>
    <t>Burkina Faso</t>
  </si>
  <si>
    <t>Cambodia</t>
  </si>
  <si>
    <t>Cameroon</t>
  </si>
  <si>
    <t>Canada</t>
  </si>
  <si>
    <t>Cape Verde</t>
  </si>
  <si>
    <t>Cayman Islands</t>
  </si>
  <si>
    <t>Chile</t>
  </si>
  <si>
    <t>A1</t>
  </si>
  <si>
    <t>China</t>
  </si>
  <si>
    <t>Colombia</t>
  </si>
  <si>
    <t>Congo (Democratic Republic of)</t>
  </si>
  <si>
    <t>Congo (Republic of)</t>
  </si>
  <si>
    <t>Caa2</t>
  </si>
  <si>
    <t>Cook Islands</t>
  </si>
  <si>
    <t>Costa Rica</t>
  </si>
  <si>
    <t>Côte d'Ivoire</t>
  </si>
  <si>
    <t>Croatia</t>
  </si>
  <si>
    <t>Cuba</t>
  </si>
  <si>
    <t>Curacao</t>
  </si>
  <si>
    <t>Cyprus</t>
  </si>
  <si>
    <t>Czech Republic</t>
  </si>
  <si>
    <t>Denmark</t>
  </si>
  <si>
    <t>Dominican Republic</t>
  </si>
  <si>
    <t>Ecuador</t>
  </si>
  <si>
    <t>Caa3</t>
  </si>
  <si>
    <t>Egypt</t>
  </si>
  <si>
    <t>El Salvador</t>
  </si>
  <si>
    <t>Estonia</t>
  </si>
  <si>
    <t>Ethiopia</t>
  </si>
  <si>
    <t>Fiji</t>
  </si>
  <si>
    <t>Finland</t>
  </si>
  <si>
    <t>France</t>
  </si>
  <si>
    <t>Gabon</t>
  </si>
  <si>
    <t>Gambia</t>
  </si>
  <si>
    <t>Georgia</t>
  </si>
  <si>
    <t>Germany</t>
  </si>
  <si>
    <t>Ghana</t>
  </si>
  <si>
    <t>Greece</t>
  </si>
  <si>
    <t>Guatemala</t>
  </si>
  <si>
    <t>Ba1</t>
  </si>
  <si>
    <t>Guernsey (States of)</t>
  </si>
  <si>
    <t>Guinea</t>
  </si>
  <si>
    <t>Guinea-Bissau</t>
  </si>
  <si>
    <t>Guyana</t>
  </si>
  <si>
    <t>Haiti</t>
  </si>
  <si>
    <t>Honduras</t>
  </si>
  <si>
    <t>Hong Kong</t>
  </si>
  <si>
    <t>Hungary</t>
  </si>
  <si>
    <t>Baa3</t>
  </si>
  <si>
    <t>Iceland</t>
  </si>
  <si>
    <t>India</t>
  </si>
  <si>
    <t>Indonesia</t>
  </si>
  <si>
    <t>Iran</t>
  </si>
  <si>
    <t>Iraq</t>
  </si>
  <si>
    <t>Ireland</t>
  </si>
  <si>
    <t>Isle of Man</t>
  </si>
  <si>
    <t>Israel</t>
  </si>
  <si>
    <t>Italy</t>
  </si>
  <si>
    <t>Jamaica</t>
  </si>
  <si>
    <t>Japan</t>
  </si>
  <si>
    <t>Jersey (States of)</t>
  </si>
  <si>
    <t>Jordan</t>
  </si>
  <si>
    <t>Kazakhstan</t>
  </si>
  <si>
    <t>Kenya</t>
  </si>
  <si>
    <t>Korea</t>
  </si>
  <si>
    <t>Korea, D.P.R.</t>
  </si>
  <si>
    <t>Kuwait</t>
  </si>
  <si>
    <t>Kyrgyzstan</t>
  </si>
  <si>
    <t>Laos</t>
  </si>
  <si>
    <t>Latvia</t>
  </si>
  <si>
    <t>A3</t>
  </si>
  <si>
    <t>Lebanon</t>
  </si>
  <si>
    <t>Liberia</t>
  </si>
  <si>
    <t>Libya</t>
  </si>
  <si>
    <t>Liechtenstein</t>
  </si>
  <si>
    <t>Lithuania</t>
  </si>
  <si>
    <t>Luxembourg</t>
  </si>
  <si>
    <t>Macao</t>
  </si>
  <si>
    <t>Macedonia</t>
  </si>
  <si>
    <t>Madagascar</t>
  </si>
  <si>
    <t>Malawi</t>
  </si>
  <si>
    <t>Malaysia</t>
  </si>
  <si>
    <t>Maldives</t>
  </si>
  <si>
    <t>Mali</t>
  </si>
  <si>
    <t>Malta</t>
  </si>
  <si>
    <t>Mauritius</t>
  </si>
  <si>
    <t>Mexico</t>
  </si>
  <si>
    <t>Moldova</t>
  </si>
  <si>
    <t>Mongolia</t>
  </si>
  <si>
    <t>Montenegro</t>
  </si>
  <si>
    <t>Montserrat</t>
  </si>
  <si>
    <t>Morocco</t>
  </si>
  <si>
    <t>Mozambique</t>
  </si>
  <si>
    <t>Myanmar</t>
  </si>
  <si>
    <t>Namibia</t>
  </si>
  <si>
    <t>Netherlands</t>
  </si>
  <si>
    <t>New Zealand</t>
  </si>
  <si>
    <t>Nicaragua</t>
  </si>
  <si>
    <t>Niger</t>
  </si>
  <si>
    <t>Nigeria</t>
  </si>
  <si>
    <t>Norway</t>
  </si>
  <si>
    <t>Oman</t>
  </si>
  <si>
    <t>Pakistan</t>
  </si>
  <si>
    <t>Panama</t>
  </si>
  <si>
    <t>Papua New Guinea</t>
  </si>
  <si>
    <t>Paraguay</t>
  </si>
  <si>
    <t>Peru</t>
  </si>
  <si>
    <t>Philippines</t>
  </si>
  <si>
    <t>Poland</t>
  </si>
  <si>
    <t>Portugal</t>
  </si>
  <si>
    <t>Qatar</t>
  </si>
  <si>
    <t>Ras Al Khaimah (Emirate of)</t>
  </si>
  <si>
    <t>Romania</t>
  </si>
  <si>
    <t>Russia</t>
  </si>
  <si>
    <t>Rwanda</t>
  </si>
  <si>
    <t>Saudi Arabia</t>
  </si>
  <si>
    <t>Senegal</t>
  </si>
  <si>
    <t>Serbia</t>
  </si>
  <si>
    <t>Sharjah</t>
  </si>
  <si>
    <t>Sierra Leone</t>
  </si>
  <si>
    <t>Singapore</t>
  </si>
  <si>
    <t>Slovakia</t>
  </si>
  <si>
    <t>Slovenia</t>
  </si>
  <si>
    <t>Solomon Islands</t>
  </si>
  <si>
    <t>Somalia</t>
  </si>
  <si>
    <t>South Africa</t>
  </si>
  <si>
    <t>Spain</t>
  </si>
  <si>
    <t>Sri Lanka</t>
  </si>
  <si>
    <t>St. Maarten</t>
  </si>
  <si>
    <t>St. Vincent &amp; the Grenadines</t>
  </si>
  <si>
    <t>Sudan</t>
  </si>
  <si>
    <t>Suriname</t>
  </si>
  <si>
    <t>Swaziland</t>
  </si>
  <si>
    <t>Sweden</t>
  </si>
  <si>
    <t>Switzerland</t>
  </si>
  <si>
    <t>Syria</t>
  </si>
  <si>
    <t>Taiwan</t>
  </si>
  <si>
    <t>Tajikistan</t>
  </si>
  <si>
    <t>Tanzania</t>
  </si>
  <si>
    <t>Thailand</t>
  </si>
  <si>
    <t>Togo</t>
  </si>
  <si>
    <t>Trinidad and Tobago</t>
  </si>
  <si>
    <t>Tunisia</t>
  </si>
  <si>
    <t>Turkey</t>
  </si>
  <si>
    <t>Turks and Caicos Islands</t>
  </si>
  <si>
    <t>Uganda</t>
  </si>
  <si>
    <t>Ukraine</t>
  </si>
  <si>
    <t>United Arab Emirates</t>
  </si>
  <si>
    <t>United Kingdom</t>
  </si>
  <si>
    <t>Uruguay</t>
  </si>
  <si>
    <t>Uzbekistan</t>
  </si>
  <si>
    <t>Venezuela</t>
  </si>
  <si>
    <t>C</t>
  </si>
  <si>
    <t>Vietnam</t>
  </si>
  <si>
    <t>Yemen, Republic</t>
  </si>
  <si>
    <t>Zambia</t>
  </si>
  <si>
    <t>Zimbabwe</t>
  </si>
  <si>
    <t>Default Spread</t>
  </si>
  <si>
    <t>CRP</t>
  </si>
  <si>
    <t>Global</t>
  </si>
  <si>
    <t>Inputs for synthetic rating estimation</t>
  </si>
  <si>
    <t>Please read the special cases worksheet (see below) before you use this spreadsheet.</t>
  </si>
  <si>
    <t>Before you use this spreadsheet, make sure that the iteration box (under calculation options in excel) is checked.</t>
  </si>
  <si>
    <t>Enter the type of firm =</t>
  </si>
  <si>
    <t>Enter current Earnings before interest and taxes (EBIT) =</t>
  </si>
  <si>
    <t>(Add back only long term interest expense for financial firms)</t>
  </si>
  <si>
    <t>Enter current interest expenses =</t>
  </si>
  <si>
    <t>(Use only long term interest expense for financial firms)</t>
  </si>
  <si>
    <t>Enter long term risk free rate  =</t>
  </si>
  <si>
    <t>Interest  coverage ratio =</t>
  </si>
  <si>
    <t>Estimated Bond Rating =</t>
  </si>
  <si>
    <t>Note: If you get REF! All over the place, set the operating lease commitment question in cell F5</t>
  </si>
  <si>
    <t>Estimated Company Default Spread =</t>
  </si>
  <si>
    <t>to No, and then reset it to Yes. It should work.</t>
  </si>
  <si>
    <t>Estimated County Default Spread (if any) =</t>
  </si>
  <si>
    <t>Estimated Cost of Debt =</t>
  </si>
  <si>
    <t xml:space="preserve"> If you want to update the spreads listed below, please visit http://www.bondsonline.com</t>
  </si>
  <si>
    <t>For large manufacturing firms</t>
  </si>
  <si>
    <t>If interest coverage ratio is</t>
  </si>
  <si>
    <t>&gt;</t>
  </si>
  <si>
    <t>≤ to</t>
  </si>
  <si>
    <t>Rating is</t>
  </si>
  <si>
    <t>Spread is</t>
  </si>
  <si>
    <t>D2/D</t>
  </si>
  <si>
    <t>C2/C</t>
  </si>
  <si>
    <t>Ca2/CC</t>
  </si>
  <si>
    <t>Caa/CCC</t>
  </si>
  <si>
    <t>B3/B-</t>
  </si>
  <si>
    <t>B2/B</t>
  </si>
  <si>
    <t>B1/B+</t>
  </si>
  <si>
    <t>Ba2/BB</t>
  </si>
  <si>
    <t>Ba1/BB+</t>
  </si>
  <si>
    <t>Baa2/BBB</t>
  </si>
  <si>
    <t>A3/A-</t>
  </si>
  <si>
    <t>A2/A</t>
  </si>
  <si>
    <t>A1/A+</t>
  </si>
  <si>
    <t>Aaa/AAA</t>
  </si>
  <si>
    <t>For smaller and riskier firms</t>
  </si>
  <si>
    <t>greater than</t>
  </si>
  <si>
    <t>Spread July 2020</t>
  </si>
  <si>
    <t>Industry Name</t>
  </si>
  <si>
    <t>Number of firms</t>
  </si>
  <si>
    <t>Annual Average Revenue growth - Last 5 years</t>
  </si>
  <si>
    <t>Pre-tax Operating Margin (Unadjusted)</t>
  </si>
  <si>
    <t>After-tax ROC</t>
  </si>
  <si>
    <t>Average effective tax rate</t>
  </si>
  <si>
    <t>Equity (Levered) Beta</t>
  </si>
  <si>
    <t>Cost of equity</t>
  </si>
  <si>
    <t>Std deviation in stock prices</t>
  </si>
  <si>
    <t>Pre-tax cost of debt</t>
  </si>
  <si>
    <t>Market Debt/Capital</t>
  </si>
  <si>
    <t>Sales/Capital</t>
  </si>
  <si>
    <t>EV/EBITDA</t>
  </si>
  <si>
    <t>EV/EBIT</t>
  </si>
  <si>
    <t>Price/Book</t>
  </si>
  <si>
    <t>Trailing PE</t>
  </si>
  <si>
    <t>Non-cash WC as % of Revenues</t>
  </si>
  <si>
    <t>Cap Ex as % of Revenues</t>
  </si>
  <si>
    <t>Net Cap Ex as % of Revenues</t>
  </si>
  <si>
    <t>Reinvestment Rate</t>
  </si>
  <si>
    <t>ROE</t>
  </si>
  <si>
    <t>Dividend Payout Ratio</t>
  </si>
  <si>
    <t>Equity Reinvestment Rate</t>
  </si>
  <si>
    <t>Pre-tax Operating Margin (Lease &amp; R&amp;D adjusted)</t>
  </si>
  <si>
    <t>Aerospace/Defense</t>
  </si>
  <si>
    <t>Air Transport</t>
  </si>
  <si>
    <t>Apparel</t>
  </si>
  <si>
    <t>Auto &amp; Truck</t>
  </si>
  <si>
    <t>Auto Parts</t>
  </si>
  <si>
    <t>Bank (Money Center)</t>
  </si>
  <si>
    <t>Banks (Regional)</t>
  </si>
  <si>
    <t>Beverage (Alcoholic)</t>
  </si>
  <si>
    <t>Beverage (Soft)</t>
  </si>
  <si>
    <t>Broadcasting</t>
  </si>
  <si>
    <t>Brokerage &amp; Investment Banking</t>
  </si>
  <si>
    <t>Building Materials</t>
  </si>
  <si>
    <t>Business &amp; Consumer Services</t>
  </si>
  <si>
    <t>Cable TV</t>
  </si>
  <si>
    <t>Chemical (Basic)</t>
  </si>
  <si>
    <t>Chemical (Diversified)</t>
  </si>
  <si>
    <t>Chemical (Specialty)</t>
  </si>
  <si>
    <t>Coal &amp; Related Energy</t>
  </si>
  <si>
    <t>Construction Supplies</t>
  </si>
  <si>
    <t>Diversified</t>
  </si>
  <si>
    <t>Drugs (Biotechnology)</t>
  </si>
  <si>
    <t>Drugs (Pharmaceutical)</t>
  </si>
  <si>
    <t>Education</t>
  </si>
  <si>
    <t>Electrical Equipment</t>
  </si>
  <si>
    <t>Electronics (Consumer &amp; Office)</t>
  </si>
  <si>
    <t>Electronics (General)</t>
  </si>
  <si>
    <t>Engineering/Construction</t>
  </si>
  <si>
    <t>Entertainment</t>
  </si>
  <si>
    <t>Environmental &amp; Waste Services</t>
  </si>
  <si>
    <t>Farming/Agriculture</t>
  </si>
  <si>
    <t>Financial Svcs. (Non-bank &amp; Insurance)</t>
  </si>
  <si>
    <t>Food Processing</t>
  </si>
  <si>
    <t>Food Wholesalers</t>
  </si>
  <si>
    <t>Furn/Home Furnishings</t>
  </si>
  <si>
    <t>Green &amp; Renewable Energy</t>
  </si>
  <si>
    <t>Healthcare Products</t>
  </si>
  <si>
    <t>Healthcare Support Services</t>
  </si>
  <si>
    <t>Heathcare Information and Technology</t>
  </si>
  <si>
    <t>Homebuilding</t>
  </si>
  <si>
    <t>Hospitals/Healthcare Facilities</t>
  </si>
  <si>
    <t>Hotel/Gaming</t>
  </si>
  <si>
    <t>Household Products</t>
  </si>
  <si>
    <t>Information Services</t>
  </si>
  <si>
    <t>Insurance (General)</t>
  </si>
  <si>
    <t>Insurance (Life)</t>
  </si>
  <si>
    <t>Insurance (Prop/Cas.)</t>
  </si>
  <si>
    <t>Investments &amp; Asset Management</t>
  </si>
  <si>
    <t>Machinery</t>
  </si>
  <si>
    <t>Metals &amp; Mining</t>
  </si>
  <si>
    <t>Office Equipment &amp; Services</t>
  </si>
  <si>
    <t>Oil/Gas (Integrated)</t>
  </si>
  <si>
    <t>Oil/Gas (Production and Exploration)</t>
  </si>
  <si>
    <t>Oil/Gas Distribution</t>
  </si>
  <si>
    <t>Oilfield Svcs/Equip.</t>
  </si>
  <si>
    <t>Packaging &amp; Container</t>
  </si>
  <si>
    <t>Paper/Forest Products</t>
  </si>
  <si>
    <t>Power</t>
  </si>
  <si>
    <t>Precious Metals</t>
  </si>
  <si>
    <t>Publishing &amp; Newspapers</t>
  </si>
  <si>
    <t>R.E.I.T.</t>
  </si>
  <si>
    <t>Real Estate (Development)</t>
  </si>
  <si>
    <t>Real Estate (General/Diversified)</t>
  </si>
  <si>
    <t>Real Estate (Operations &amp; Services)</t>
  </si>
  <si>
    <t>Recreation</t>
  </si>
  <si>
    <t>Reinsurance</t>
  </si>
  <si>
    <t>Restaurant/Dining</t>
  </si>
  <si>
    <t>Retail (Automotive)</t>
  </si>
  <si>
    <t>Retail (Building Supply)</t>
  </si>
  <si>
    <t>Retail (Distributors)</t>
  </si>
  <si>
    <t>Retail (General)</t>
  </si>
  <si>
    <t>Retail (Grocery and Food)</t>
  </si>
  <si>
    <t>Retail (Online)</t>
  </si>
  <si>
    <t>Retail (Special Lines)</t>
  </si>
  <si>
    <t>Rubber&amp; Tires</t>
  </si>
  <si>
    <t>Semiconductor</t>
  </si>
  <si>
    <t>Semiconductor Equip</t>
  </si>
  <si>
    <t>Shipbuilding &amp; Marine</t>
  </si>
  <si>
    <t>Shoe</t>
  </si>
  <si>
    <t>Software (Entertainment)</t>
  </si>
  <si>
    <t>Software (Internet)</t>
  </si>
  <si>
    <t>Steel</t>
  </si>
  <si>
    <t>Telecom (Wireless)</t>
  </si>
  <si>
    <t>Telecom. Equipment</t>
  </si>
  <si>
    <t>Telecom. Services</t>
  </si>
  <si>
    <t>Tobacco</t>
  </si>
  <si>
    <t>Transportation</t>
  </si>
  <si>
    <t>Transportation (Railroads)</t>
  </si>
  <si>
    <t>Trucking</t>
  </si>
  <si>
    <t>Utility (General)</t>
  </si>
  <si>
    <t>Utility (Water)</t>
  </si>
  <si>
    <t>Total Market</t>
  </si>
  <si>
    <t>Total Market (without financials)</t>
  </si>
  <si>
    <t>Yes/No</t>
  </si>
  <si>
    <t>Book or Market Value</t>
  </si>
  <si>
    <t>ERP choices</t>
  </si>
  <si>
    <t>Cost of debt</t>
  </si>
  <si>
    <t>B</t>
  </si>
  <si>
    <t>Will input</t>
  </si>
  <si>
    <t>Direct input</t>
  </si>
  <si>
    <t>Actual rating</t>
  </si>
  <si>
    <t>Single Business(Global)</t>
  </si>
  <si>
    <t>Operating regions</t>
  </si>
  <si>
    <t>Multibusiness(US)</t>
  </si>
  <si>
    <t>Multibusiness(Global)</t>
  </si>
  <si>
    <t>South Korea</t>
  </si>
  <si>
    <t xml:space="preserve">United States </t>
  </si>
  <si>
    <t xml:space="preserve">Ireland </t>
  </si>
  <si>
    <t>Others</t>
  </si>
  <si>
    <t>Rev 10Y CAGR</t>
  </si>
  <si>
    <t>FCF 10Y CAGR</t>
  </si>
  <si>
    <t>10Y Avg EBIT</t>
  </si>
  <si>
    <t>5Y sales to cap avg</t>
  </si>
  <si>
    <t>Per company presentation:</t>
  </si>
  <si>
    <t xml:space="preserve">SAM: Serviceable Addressable Opportunity </t>
  </si>
  <si>
    <t>Market</t>
  </si>
  <si>
    <t>Core Chipsets</t>
  </si>
  <si>
    <t>(In Billions)</t>
  </si>
  <si>
    <t>RF Front End</t>
  </si>
  <si>
    <t>Adjacent Platforms:</t>
  </si>
  <si>
    <t xml:space="preserve">Automotive </t>
  </si>
  <si>
    <t xml:space="preserve">Compute </t>
  </si>
  <si>
    <t>3Y SAM CAGR</t>
  </si>
  <si>
    <t>IoT</t>
  </si>
  <si>
    <t>IoT Breakdown:</t>
  </si>
  <si>
    <t xml:space="preserve">IoT: Cellular </t>
  </si>
  <si>
    <t>IoT: Non-cellular</t>
  </si>
  <si>
    <t>ADAS</t>
  </si>
  <si>
    <t>Cloud/Edge AI</t>
  </si>
  <si>
    <t>https://www.prnewswire.com/news-releases/the-global-automotive-semiconductor-market-is-expected-to-grow-from-usd-38-863-62-million-in-2019-to-usd-51-286-70-million-by-the-end-of-2025-at-a-compound-annual-growth-rate-cagr-of-4-73-301092110.html</t>
  </si>
  <si>
    <t>https://www.globenewswire.com/news-release/2020/10/27/2115307/0/en/Global-Advanced-Driver-Assistance-Systems-ADAS-Market-to-Grow-at-a-CAGR-of-17-During-2020-2025-Expert-Market-Research.html</t>
  </si>
  <si>
    <t>5Y Industry CAGR</t>
  </si>
  <si>
    <t>https://www.grandviewresearch.com/press-release/global-cellular-internet-of-thing-iot-market</t>
  </si>
  <si>
    <t>https://www.electronicsweekly.com/news/business/rf-front-end-market-8-cagr-2025-2020-04/</t>
  </si>
  <si>
    <t>https://www.mordorintelligence.com/industry-reports/cloud-ai-market</t>
  </si>
  <si>
    <t>https://www.globenewswire.com/news-release/2020/02/21/1988733/0/en/The-IoT-chip-market-is-expected-to-register-a-CAGR-of-13-5-during-the-forecast-period-2020.html</t>
  </si>
  <si>
    <t>CY24 SAM</t>
  </si>
  <si>
    <t>Notes:</t>
  </si>
  <si>
    <t xml:space="preserve">Compute includes Android tablets, Chromebooks, Windows Ultra-slim and 2-in-1 devices </t>
  </si>
  <si>
    <t>CY22 SAM</t>
  </si>
  <si>
    <t>&lt;1%</t>
  </si>
  <si>
    <t>https://www.prnewswire.com/news-releases/laptop-market-size-worth-108-91-billion-by-2025--cagr-0-4-grand-view-research-inc-300844055.html</t>
  </si>
  <si>
    <t>2019 Total Revenue:</t>
  </si>
  <si>
    <t>QCT is main business</t>
  </si>
  <si>
    <t xml:space="preserve">QTL is focused on licensing </t>
  </si>
  <si>
    <t>QSI is venture arm</t>
  </si>
  <si>
    <t>2019 TAM</t>
  </si>
  <si>
    <t>https://www.globenewswire.com/news-release/2020/07/24/2067070/0/en/The-Global-Application-Processor-Market-is-expected-to-grow-from-USD-23-316-87-Million-in-2019-to-USD-32-651-86-Million-by-the-end-of-2025-at-a-Compound-Annual-Growth-Rate-CAGR-of-.html</t>
  </si>
  <si>
    <t>5Y TAM (2025)</t>
  </si>
  <si>
    <t>CY19 SAM (management)</t>
  </si>
  <si>
    <t>106.3 (implied)</t>
  </si>
  <si>
    <t>39.5 (implied)</t>
  </si>
  <si>
    <t>3 (implied)</t>
  </si>
  <si>
    <t>N/A</t>
  </si>
  <si>
    <t>2022 SAM:</t>
  </si>
  <si>
    <t>Total TAM:</t>
  </si>
  <si>
    <t>2019 Rev % of TAM</t>
  </si>
  <si>
    <t>Total TAM 5Y CAGR:</t>
  </si>
  <si>
    <t>2025 Projected Tev % of TAM</t>
  </si>
  <si>
    <t>Not included-&gt;</t>
  </si>
  <si>
    <t>TAM Source:</t>
  </si>
  <si>
    <t>https://www.psmarketresearch.com/market-analysis/5g-rf-transceiver-market-forecast</t>
  </si>
  <si>
    <t>3Y SAM CAGR (weighted)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</si>
</sst>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8" formatCode="&quot;$&quot;#,##0.00_);[Red]\(&quot;$&quot;#,##0.00\)"/>
    <numFmt numFmtId="44" formatCode="_(&quot;$&quot;* #,##0.00_);_(&quot;$&quot;* \(#,##0.00\);_(&quot;$&quot;* &quot;-&quot;??_);_(@_)"/>
    <numFmt numFmtId="43" formatCode="_(* #,##0.00_);_(* \(#,##0.00\);_(* &quot;-&quot;??_);_(@_)"/>
    <numFmt numFmtId="164" formatCode="#,##0.0000"/>
    <numFmt numFmtId="165" formatCode="&quot;$&quot;#,##0.00"/>
    <numFmt numFmtId="166" formatCode="_(&quot;$&quot;* #,##0_);_(&quot;$&quot;* \(#,##0\);_(&quot;$&quot;* &quot;-&quot;??_);_(@_)"/>
    <numFmt numFmtId="167" formatCode="0.0000"/>
    <numFmt numFmtId="168" formatCode="0.0000%"/>
    <numFmt numFmtId="169" formatCode="_([$$-409]* #,##0.00_);_([$$-409]* \(#,##0.00\);_([$$-409]* &quot;-&quot;??_);_(@_)"/>
    <numFmt numFmtId="170" formatCode="0.000%"/>
    <numFmt numFmtId="171" formatCode="_([$$-409]* #,##0_);_([$$-409]* \(#,##0\);_([$$-409]* &quot;-&quot;??_);_(@_)"/>
    <numFmt numFmtId="172" formatCode="_(* #,##0.0_);_(* \(#,##0.0\)_)\ ;_(* 0_)"/>
  </numFmts>
  <fonts count="61">
    <font>
      <sz val="9"/>
      <name val="Geneva"/>
      <family val="2"/>
    </font>
    <font>
      <sz val="12"/>
      <color theme="1"/>
      <name val="Calibri"/>
      <family val="2"/>
      <scheme val="minor"/>
    </font>
    <font>
      <i/>
      <sz val="9"/>
      <name val="Geneva"/>
      <family val="2"/>
    </font>
    <font>
      <sz val="9"/>
      <name val="Geneva"/>
      <family val="2"/>
    </font>
    <font>
      <sz val="9"/>
      <name val="Helv"/>
    </font>
    <font>
      <sz val="12"/>
      <name val="Arial"/>
      <family val="2"/>
    </font>
    <font>
      <b/>
      <sz val="14"/>
      <name val="Times"/>
      <family val="1"/>
    </font>
    <font>
      <b/>
      <sz val="14"/>
      <name val="Geneva"/>
      <family val="2"/>
    </font>
    <font>
      <sz val="10"/>
      <name val="Times"/>
      <family val="1"/>
    </font>
    <font>
      <b/>
      <i/>
      <sz val="10"/>
      <name val="Times"/>
      <family val="1"/>
    </font>
    <font>
      <i/>
      <sz val="10"/>
      <name val="Times"/>
      <family val="1"/>
    </font>
    <font>
      <i/>
      <sz val="10"/>
      <name val="Geneva"/>
      <family val="2"/>
    </font>
    <font>
      <b/>
      <sz val="10"/>
      <name val="Times"/>
      <family val="1"/>
    </font>
    <font>
      <b/>
      <sz val="12"/>
      <name val="Times"/>
      <family val="1"/>
    </font>
    <font>
      <sz val="10"/>
      <name val="Geneva"/>
      <family val="2"/>
    </font>
    <font>
      <i/>
      <sz val="12"/>
      <name val="Times"/>
      <family val="1"/>
    </font>
    <font>
      <sz val="12"/>
      <name val="Times"/>
      <family val="1"/>
    </font>
    <font>
      <b/>
      <i/>
      <u/>
      <sz val="12"/>
      <name val="Times"/>
      <family val="1"/>
    </font>
    <font>
      <sz val="10"/>
      <name val="Helv"/>
    </font>
    <font>
      <i/>
      <sz val="10"/>
      <name val="Helv"/>
    </font>
    <font>
      <b/>
      <i/>
      <sz val="14"/>
      <name val="Times"/>
      <family val="1"/>
    </font>
    <font>
      <b/>
      <i/>
      <sz val="12"/>
      <name val="Times"/>
      <family val="1"/>
    </font>
    <font>
      <i/>
      <sz val="12"/>
      <name val="Geneva"/>
      <family val="2"/>
    </font>
    <font>
      <b/>
      <sz val="10"/>
      <name val="Geneva"/>
      <family val="2"/>
    </font>
    <font>
      <b/>
      <sz val="10"/>
      <name val="Arial"/>
      <family val="2"/>
    </font>
    <font>
      <sz val="10"/>
      <name val="Arial"/>
      <family val="2"/>
    </font>
    <font>
      <sz val="9"/>
      <name val="Times"/>
      <family val="1"/>
    </font>
    <font>
      <b/>
      <sz val="9"/>
      <name val="Times"/>
      <family val="1"/>
    </font>
    <font>
      <i/>
      <sz val="14"/>
      <name val="Times"/>
      <family val="1"/>
    </font>
    <font>
      <sz val="8"/>
      <name val="Arial"/>
      <family val="2"/>
    </font>
    <font>
      <i/>
      <sz val="9"/>
      <name val="Helv"/>
    </font>
    <font>
      <sz val="9"/>
      <name val="Calibri"/>
      <family val="2"/>
    </font>
    <font>
      <i/>
      <sz val="12"/>
      <name val="Calibri"/>
      <family val="2"/>
    </font>
    <font>
      <b/>
      <sz val="12"/>
      <color theme="1"/>
      <name val="Calibri"/>
      <family val="2"/>
      <scheme val="minor"/>
    </font>
    <font>
      <sz val="12"/>
      <color rgb="FFFF0000"/>
      <name val="Calibri"/>
      <family val="2"/>
      <scheme val="minor"/>
    </font>
    <font>
      <sz val="12"/>
      <color rgb="FFFF0000"/>
      <name val="Times"/>
      <family val="1"/>
    </font>
    <font>
      <sz val="10"/>
      <name val="Calibri"/>
      <family val="2"/>
      <scheme val="minor"/>
    </font>
    <font>
      <i/>
      <sz val="12"/>
      <color theme="1"/>
      <name val="Calibri"/>
      <family val="2"/>
      <scheme val="minor"/>
    </font>
    <font>
      <sz val="12"/>
      <name val="Calibri"/>
      <family val="2"/>
      <scheme val="minor"/>
    </font>
    <font>
      <sz val="10"/>
      <color theme="1"/>
      <name val="Calibri"/>
      <family val="2"/>
      <scheme val="minor"/>
    </font>
    <font>
      <sz val="9"/>
      <name val="Calibri"/>
      <family val="2"/>
      <scheme val="minor"/>
    </font>
    <font>
      <b/>
      <i/>
      <sz val="12"/>
      <color theme="1"/>
      <name val="Calibri"/>
      <family val="2"/>
      <scheme val="minor"/>
    </font>
    <font>
      <i/>
      <sz val="12"/>
      <color rgb="FFFF0000"/>
      <name val="Calibri (Body)"/>
    </font>
    <font>
      <sz val="12"/>
      <color rgb="FFFF0000"/>
      <name val="Calibri (Body)"/>
    </font>
    <font>
      <sz val="10"/>
      <color rgb="FFFF0000"/>
      <name val="Arial"/>
      <family val="2"/>
    </font>
    <font>
      <b/>
      <sz val="9"/>
      <name val="Geneva"/>
      <family val="2"/>
    </font>
    <font>
      <sz val="10"/>
      <name val="Helvetica"/>
      <family val="2"/>
    </font>
    <font>
      <b/>
      <sz val="10"/>
      <name val="Helvetica"/>
      <family val="2"/>
    </font>
    <font>
      <sz val="9"/>
      <name val="Helvetica"/>
      <family val="2"/>
    </font>
    <font>
      <b/>
      <sz val="10"/>
      <color theme="1"/>
      <name val="Helvetica"/>
      <family val="2"/>
    </font>
    <font>
      <i/>
      <sz val="10"/>
      <name val="Helvetica"/>
      <family val="2"/>
    </font>
    <font>
      <i/>
      <sz val="10"/>
      <color rgb="FFFF0000"/>
      <name val="Helvetica"/>
      <family val="2"/>
    </font>
    <font>
      <b/>
      <i/>
      <sz val="10"/>
      <name val="Helvetica"/>
      <family val="2"/>
    </font>
    <font>
      <i/>
      <sz val="9"/>
      <name val="Helvetica"/>
      <family val="2"/>
    </font>
    <font>
      <sz val="10"/>
      <name val="Calibri"/>
      <family val="2"/>
    </font>
    <font>
      <sz val="9"/>
      <color rgb="FF000000"/>
      <name val="Geneva"/>
      <family val="2"/>
      <charset val="1"/>
    </font>
    <font>
      <sz val="12"/>
      <color rgb="FF9C0006"/>
      <name val="Calibri"/>
      <family val="2"/>
      <scheme val="minor"/>
    </font>
    <font>
      <sz val="12"/>
      <color theme="0"/>
      <name val="Calibri"/>
      <family val="2"/>
      <scheme val="minor"/>
    </font>
    <font>
      <u/>
      <sz val="9"/>
      <color theme="10"/>
      <name val="Geneva"/>
      <family val="2"/>
    </font>
    <font>
      <sz val="8"/>
      <color theme="1"/>
      <name val="QualcommNext"/>
    </font>
    <font>
      <sz val="12"/>
      <name val="Times Roman"/>
    </font>
  </fonts>
  <fills count="16">
    <fill>
      <patternFill patternType="none"/>
    </fill>
    <fill>
      <patternFill patternType="gray125"/>
    </fill>
    <fill>
      <patternFill patternType="solid">
        <fgColor indexed="42"/>
        <bgColor indexed="64"/>
      </patternFill>
    </fill>
    <fill>
      <patternFill patternType="solid">
        <fgColor indexed="13"/>
        <bgColor indexed="64"/>
      </patternFill>
    </fill>
    <fill>
      <patternFill patternType="solid">
        <fgColor rgb="FFFFFF00"/>
        <bgColor indexed="64"/>
      </patternFill>
    </fill>
    <fill>
      <patternFill patternType="solid">
        <fgColor theme="0"/>
        <bgColor indexed="64"/>
      </patternFill>
    </fill>
    <fill>
      <patternFill patternType="solid">
        <fgColor rgb="FFCCFFCC"/>
        <bgColor indexed="64"/>
      </patternFill>
    </fill>
    <fill>
      <patternFill patternType="solid">
        <fgColor rgb="FFFF0000"/>
        <bgColor indexed="64"/>
      </patternFill>
    </fill>
    <fill>
      <patternFill patternType="solid">
        <fgColor rgb="FFFFFF00"/>
        <bgColor rgb="FF000000"/>
      </patternFill>
    </fill>
    <fill>
      <patternFill patternType="solid">
        <fgColor rgb="FFFFFFFF"/>
        <bgColor rgb="FF000000"/>
      </patternFill>
    </fill>
    <fill>
      <patternFill patternType="solid">
        <fgColor rgb="FF92D050"/>
        <bgColor indexed="64"/>
      </patternFill>
    </fill>
    <fill>
      <patternFill patternType="solid">
        <fgColor theme="0" tint="-0.14999847407452621"/>
        <bgColor indexed="64"/>
      </patternFill>
    </fill>
    <fill>
      <patternFill patternType="solid">
        <fgColor theme="2"/>
        <bgColor indexed="64"/>
      </patternFill>
    </fill>
    <fill>
      <patternFill patternType="solid">
        <fgColor rgb="FFFFC7CE"/>
      </patternFill>
    </fill>
    <fill>
      <patternFill patternType="solid">
        <fgColor theme="5"/>
      </patternFill>
    </fill>
    <fill>
      <patternFill patternType="solid">
        <fgColor theme="6"/>
      </patternFill>
    </fill>
  </fills>
  <borders count="5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top/>
      <bottom/>
      <diagonal/>
    </border>
    <border>
      <left/>
      <right style="thin">
        <color indexed="64"/>
      </right>
      <top/>
      <bottom/>
      <diagonal/>
    </border>
    <border>
      <left style="medium">
        <color indexed="64"/>
      </left>
      <right/>
      <top style="thin">
        <color indexed="64"/>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style="thin">
        <color indexed="64"/>
      </top>
      <bottom style="medium">
        <color indexed="64"/>
      </bottom>
      <diagonal/>
    </border>
    <border>
      <left/>
      <right/>
      <top/>
      <bottom style="double">
        <color indexed="64"/>
      </bottom>
      <diagonal/>
    </border>
    <border>
      <left/>
      <right style="thin">
        <color indexed="64"/>
      </right>
      <top/>
      <bottom style="double">
        <color indexed="64"/>
      </bottom>
      <diagonal/>
    </border>
  </borders>
  <cellStyleXfs count="8">
    <xf numFmtId="0" fontId="0" fillId="0" borderId="0"/>
    <xf numFmtId="43" fontId="3" fillId="0" borderId="0"/>
    <xf numFmtId="44" fontId="3" fillId="0" borderId="0"/>
    <xf numFmtId="9" fontId="3" fillId="0" borderId="0"/>
    <xf numFmtId="0" fontId="56" fillId="13" borderId="0" applyNumberFormat="0" applyBorder="0" applyAlignment="0" applyProtection="0"/>
    <xf numFmtId="0" fontId="57" fillId="14" borderId="0" applyNumberFormat="0" applyBorder="0" applyAlignment="0" applyProtection="0"/>
    <xf numFmtId="0" fontId="57" fillId="15" borderId="0" applyNumberFormat="0" applyBorder="0" applyAlignment="0" applyProtection="0"/>
    <xf numFmtId="0" fontId="58" fillId="0" borderId="0" applyNumberFormat="0" applyFill="0" applyBorder="0" applyAlignment="0" applyProtection="0"/>
  </cellStyleXfs>
  <cellXfs count="395">
    <xf numFmtId="0" fontId="0" fillId="0" borderId="0" xfId="0"/>
    <xf numFmtId="0" fontId="0" fillId="0" borderId="1" xfId="0" applyBorder="1"/>
    <xf numFmtId="0" fontId="2" fillId="0" borderId="0" xfId="0" applyFont="1"/>
    <xf numFmtId="10" fontId="0" fillId="0" borderId="1" xfId="0" applyNumberFormat="1" applyBorder="1" applyAlignment="1">
      <alignment horizontal="center"/>
    </xf>
    <xf numFmtId="0" fontId="4" fillId="0" borderId="0" xfId="0" applyFont="1"/>
    <xf numFmtId="0" fontId="5" fillId="0" borderId="0" xfId="0" applyFont="1"/>
    <xf numFmtId="0" fontId="6" fillId="0" borderId="0" xfId="0" applyFont="1"/>
    <xf numFmtId="0" fontId="7" fillId="0" borderId="0" xfId="0" applyFont="1"/>
    <xf numFmtId="10" fontId="8" fillId="2" borderId="1" xfId="3" applyNumberFormat="1" applyFont="1" applyFill="1" applyBorder="1"/>
    <xf numFmtId="10" fontId="8" fillId="2" borderId="1" xfId="0" applyNumberFormat="1" applyFont="1" applyFill="1" applyBorder="1"/>
    <xf numFmtId="2" fontId="8" fillId="2" borderId="1" xfId="0" applyNumberFormat="1" applyFont="1" applyFill="1" applyBorder="1"/>
    <xf numFmtId="4" fontId="8" fillId="2" borderId="1" xfId="0" applyNumberFormat="1" applyFont="1" applyFill="1" applyBorder="1"/>
    <xf numFmtId="0" fontId="9" fillId="0" borderId="0" xfId="0" applyFont="1"/>
    <xf numFmtId="0" fontId="10" fillId="0" borderId="0" xfId="0" applyFont="1"/>
    <xf numFmtId="0" fontId="11" fillId="0" borderId="0" xfId="0" applyFont="1"/>
    <xf numFmtId="0" fontId="12" fillId="0" borderId="1" xfId="0" applyFont="1" applyBorder="1"/>
    <xf numFmtId="0" fontId="8" fillId="0" borderId="1" xfId="0" applyFont="1" applyBorder="1"/>
    <xf numFmtId="10" fontId="12" fillId="0" borderId="0" xfId="0" applyNumberFormat="1" applyFont="1"/>
    <xf numFmtId="3" fontId="8" fillId="0" borderId="1" xfId="0" applyNumberFormat="1" applyFont="1" applyBorder="1"/>
    <xf numFmtId="10" fontId="12" fillId="0" borderId="1" xfId="0" applyNumberFormat="1" applyFont="1" applyBorder="1"/>
    <xf numFmtId="164" fontId="12" fillId="0" borderId="1" xfId="1" applyNumberFormat="1" applyFont="1" applyBorder="1"/>
    <xf numFmtId="10" fontId="8" fillId="0" borderId="1" xfId="0" applyNumberFormat="1" applyFont="1" applyBorder="1"/>
    <xf numFmtId="0" fontId="6" fillId="0" borderId="0" xfId="0" applyFont="1" applyAlignment="1">
      <alignment horizontal="centerContinuous"/>
    </xf>
    <xf numFmtId="0" fontId="8" fillId="0" borderId="1" xfId="0" applyFont="1" applyBorder="1" applyAlignment="1">
      <alignment horizontal="center"/>
    </xf>
    <xf numFmtId="0" fontId="13" fillId="0" borderId="0" xfId="0" applyFont="1"/>
    <xf numFmtId="0" fontId="8" fillId="0" borderId="2" xfId="0" applyFont="1" applyBorder="1"/>
    <xf numFmtId="0" fontId="8" fillId="2" borderId="1" xfId="0" applyFont="1" applyFill="1" applyBorder="1" applyAlignment="1">
      <alignment horizontal="center"/>
    </xf>
    <xf numFmtId="0" fontId="8" fillId="0" borderId="3" xfId="0" applyFont="1" applyBorder="1"/>
    <xf numFmtId="0" fontId="8" fillId="2" borderId="2" xfId="0" applyFont="1" applyFill="1" applyBorder="1"/>
    <xf numFmtId="0" fontId="15" fillId="0" borderId="5" xfId="0" applyFont="1" applyBorder="1" applyAlignment="1">
      <alignment horizontal="center"/>
    </xf>
    <xf numFmtId="0" fontId="15" fillId="0" borderId="1" xfId="0" applyFont="1" applyBorder="1" applyAlignment="1">
      <alignment horizontal="center"/>
    </xf>
    <xf numFmtId="0" fontId="16" fillId="0" borderId="0" xfId="0" applyFont="1"/>
    <xf numFmtId="0" fontId="16" fillId="0" borderId="1" xfId="0" applyFont="1" applyBorder="1"/>
    <xf numFmtId="0" fontId="17" fillId="0" borderId="1" xfId="0" applyFont="1" applyBorder="1"/>
    <xf numFmtId="0" fontId="16" fillId="0" borderId="1" xfId="0" applyFont="1" applyBorder="1" applyAlignment="1">
      <alignment horizontal="center"/>
    </xf>
    <xf numFmtId="0" fontId="16" fillId="0" borderId="0" xfId="0" applyFont="1" applyAlignment="1">
      <alignment horizontal="center"/>
    </xf>
    <xf numFmtId="0" fontId="18" fillId="0" borderId="1" xfId="0" applyFont="1" applyBorder="1"/>
    <xf numFmtId="0" fontId="18" fillId="0" borderId="0" xfId="0" applyFont="1"/>
    <xf numFmtId="0" fontId="5" fillId="0" borderId="0" xfId="0" applyFont="1" applyAlignment="1">
      <alignment horizontal="left"/>
    </xf>
    <xf numFmtId="10" fontId="8" fillId="4" borderId="2" xfId="0" applyNumberFormat="1" applyFont="1" applyFill="1" applyBorder="1" applyAlignment="1">
      <alignment horizontal="center"/>
    </xf>
    <xf numFmtId="0" fontId="16" fillId="6" borderId="1" xfId="0" applyFont="1" applyFill="1" applyBorder="1"/>
    <xf numFmtId="10" fontId="16" fillId="6" borderId="1" xfId="3" applyNumberFormat="1" applyFont="1" applyFill="1" applyBorder="1" applyAlignment="1">
      <alignment horizontal="center"/>
    </xf>
    <xf numFmtId="10" fontId="16" fillId="6" borderId="1" xfId="0" applyNumberFormat="1" applyFont="1" applyFill="1" applyBorder="1" applyAlignment="1">
      <alignment horizontal="center"/>
    </xf>
    <xf numFmtId="10" fontId="16" fillId="6" borderId="1" xfId="3" applyNumberFormat="1" applyFont="1" applyFill="1" applyBorder="1"/>
    <xf numFmtId="10" fontId="16" fillId="6" borderId="1" xfId="2" applyNumberFormat="1" applyFont="1" applyFill="1" applyBorder="1"/>
    <xf numFmtId="10" fontId="16" fillId="6" borderId="1" xfId="2" applyNumberFormat="1" applyFont="1" applyFill="1" applyBorder="1" applyAlignment="1">
      <alignment horizontal="center"/>
    </xf>
    <xf numFmtId="0" fontId="16" fillId="6" borderId="1" xfId="0" applyFont="1" applyFill="1" applyBorder="1" applyAlignment="1">
      <alignment horizontal="center"/>
    </xf>
    <xf numFmtId="10" fontId="16" fillId="6" borderId="1" xfId="0" applyNumberFormat="1" applyFont="1" applyFill="1" applyBorder="1"/>
    <xf numFmtId="43" fontId="16" fillId="6" borderId="1" xfId="1" applyFont="1" applyFill="1" applyBorder="1"/>
    <xf numFmtId="2" fontId="16" fillId="6" borderId="1" xfId="0" applyNumberFormat="1" applyFont="1" applyFill="1" applyBorder="1" applyAlignment="1">
      <alignment horizontal="center"/>
    </xf>
    <xf numFmtId="166" fontId="16" fillId="6" borderId="1" xfId="0" applyNumberFormat="1" applyFont="1" applyFill="1" applyBorder="1"/>
    <xf numFmtId="166" fontId="16" fillId="6" borderId="1" xfId="0" applyNumberFormat="1" applyFont="1" applyFill="1" applyBorder="1" applyAlignment="1">
      <alignment horizontal="center"/>
    </xf>
    <xf numFmtId="10" fontId="16" fillId="7" borderId="1" xfId="3" applyNumberFormat="1" applyFont="1" applyFill="1" applyBorder="1" applyAlignment="1">
      <alignment horizontal="center"/>
    </xf>
    <xf numFmtId="0" fontId="20" fillId="0" borderId="0" xfId="0" applyFont="1"/>
    <xf numFmtId="0" fontId="12" fillId="0" borderId="0" xfId="0" applyFont="1"/>
    <xf numFmtId="0" fontId="8" fillId="3" borderId="1" xfId="0" applyFont="1" applyFill="1" applyBorder="1"/>
    <xf numFmtId="0" fontId="8" fillId="0" borderId="0" xfId="0" applyFont="1"/>
    <xf numFmtId="0" fontId="10" fillId="0" borderId="0" xfId="0" applyFont="1" applyAlignment="1">
      <alignment horizontal="center"/>
    </xf>
    <xf numFmtId="0" fontId="10" fillId="0" borderId="1" xfId="0" applyFont="1" applyBorder="1" applyAlignment="1">
      <alignment horizontal="center"/>
    </xf>
    <xf numFmtId="2" fontId="8" fillId="6" borderId="1" xfId="0" applyNumberFormat="1" applyFont="1" applyFill="1" applyBorder="1"/>
    <xf numFmtId="10" fontId="8" fillId="6" borderId="1" xfId="3" applyNumberFormat="1" applyFont="1" applyFill="1" applyBorder="1"/>
    <xf numFmtId="10" fontId="8" fillId="6" borderId="3" xfId="0" applyNumberFormat="1" applyFont="1" applyFill="1" applyBorder="1"/>
    <xf numFmtId="10" fontId="8" fillId="6" borderId="1" xfId="0" applyNumberFormat="1" applyFont="1" applyFill="1" applyBorder="1"/>
    <xf numFmtId="10" fontId="8" fillId="6" borderId="13" xfId="3" applyNumberFormat="1" applyFont="1" applyFill="1" applyBorder="1"/>
    <xf numFmtId="10" fontId="8" fillId="6" borderId="2" xfId="3" applyNumberFormat="1" applyFont="1" applyFill="1" applyBorder="1"/>
    <xf numFmtId="2" fontId="8" fillId="6" borderId="1" xfId="2" applyNumberFormat="1" applyFont="1" applyFill="1" applyBorder="1"/>
    <xf numFmtId="0" fontId="21" fillId="0" borderId="0" xfId="0" applyFont="1"/>
    <xf numFmtId="0" fontId="22" fillId="0" borderId="0" xfId="0" applyFont="1"/>
    <xf numFmtId="0" fontId="14" fillId="0" borderId="0" xfId="0" applyFont="1"/>
    <xf numFmtId="0" fontId="8" fillId="3" borderId="1" xfId="0" applyFont="1" applyFill="1" applyBorder="1" applyAlignment="1">
      <alignment horizontal="center"/>
    </xf>
    <xf numFmtId="10" fontId="12" fillId="0" borderId="0" xfId="0" applyNumberFormat="1" applyFont="1" applyAlignment="1">
      <alignment horizontal="center"/>
    </xf>
    <xf numFmtId="10" fontId="9" fillId="0" borderId="0" xfId="0" applyNumberFormat="1" applyFont="1" applyAlignment="1">
      <alignment horizontal="center"/>
    </xf>
    <xf numFmtId="0" fontId="10" fillId="0" borderId="1" xfId="0" applyFont="1" applyBorder="1" applyAlignment="1">
      <alignment horizontal="centerContinuous"/>
    </xf>
    <xf numFmtId="0" fontId="10" fillId="0" borderId="1" xfId="0" applyFont="1" applyBorder="1"/>
    <xf numFmtId="2" fontId="8" fillId="0" borderId="1" xfId="0" applyNumberFormat="1" applyFont="1" applyBorder="1" applyAlignment="1">
      <alignment horizontal="center"/>
    </xf>
    <xf numFmtId="0" fontId="8" fillId="0" borderId="1" xfId="0" applyFont="1" applyBorder="1" applyAlignment="1">
      <alignment horizontal="centerContinuous"/>
    </xf>
    <xf numFmtId="10" fontId="8" fillId="6" borderId="2" xfId="0" applyNumberFormat="1" applyFont="1" applyFill="1" applyBorder="1"/>
    <xf numFmtId="2" fontId="12" fillId="6" borderId="2" xfId="0" applyNumberFormat="1" applyFont="1" applyFill="1" applyBorder="1" applyAlignment="1">
      <alignment horizontal="center"/>
    </xf>
    <xf numFmtId="0" fontId="23" fillId="6" borderId="4" xfId="0" applyFont="1" applyFill="1" applyBorder="1" applyAlignment="1">
      <alignment horizontal="center"/>
    </xf>
    <xf numFmtId="10" fontId="12" fillId="6" borderId="2" xfId="3" applyNumberFormat="1" applyFont="1" applyFill="1" applyBorder="1" applyAlignment="1">
      <alignment horizontal="center"/>
    </xf>
    <xf numFmtId="10" fontId="12" fillId="6" borderId="2" xfId="0" applyNumberFormat="1" applyFont="1" applyFill="1" applyBorder="1" applyAlignment="1">
      <alignment horizontal="center"/>
    </xf>
    <xf numFmtId="0" fontId="25" fillId="0" borderId="0" xfId="0" applyFont="1"/>
    <xf numFmtId="0" fontId="24" fillId="6" borderId="1" xfId="0" applyFont="1" applyFill="1" applyBorder="1"/>
    <xf numFmtId="0" fontId="25" fillId="6" borderId="1" xfId="0" applyFont="1" applyFill="1" applyBorder="1"/>
    <xf numFmtId="10" fontId="25" fillId="6" borderId="1" xfId="0" applyNumberFormat="1" applyFont="1" applyFill="1" applyBorder="1"/>
    <xf numFmtId="0" fontId="25" fillId="6" borderId="3" xfId="0" applyFont="1" applyFill="1" applyBorder="1"/>
    <xf numFmtId="10" fontId="25" fillId="6" borderId="3" xfId="0" applyNumberFormat="1" applyFont="1" applyFill="1" applyBorder="1" applyAlignment="1">
      <alignment horizontal="right"/>
    </xf>
    <xf numFmtId="0" fontId="25" fillId="0" borderId="10" xfId="0" applyFont="1" applyBorder="1"/>
    <xf numFmtId="167" fontId="16" fillId="6" borderId="1" xfId="0" applyNumberFormat="1" applyFont="1" applyFill="1" applyBorder="1" applyAlignment="1">
      <alignment horizontal="center"/>
    </xf>
    <xf numFmtId="0" fontId="16" fillId="0" borderId="0" xfId="0" applyFont="1" applyAlignment="1">
      <alignment horizontal="left"/>
    </xf>
    <xf numFmtId="0" fontId="8" fillId="6" borderId="1" xfId="0" applyFont="1" applyFill="1" applyBorder="1"/>
    <xf numFmtId="0" fontId="9" fillId="0" borderId="1" xfId="0" applyFont="1" applyBorder="1"/>
    <xf numFmtId="2" fontId="8" fillId="3" borderId="1" xfId="0" applyNumberFormat="1" applyFont="1" applyFill="1" applyBorder="1"/>
    <xf numFmtId="169" fontId="8" fillId="4" borderId="1" xfId="2" applyNumberFormat="1" applyFont="1" applyFill="1" applyBorder="1"/>
    <xf numFmtId="167" fontId="8" fillId="6" borderId="1" xfId="0" applyNumberFormat="1" applyFont="1" applyFill="1" applyBorder="1"/>
    <xf numFmtId="169" fontId="8" fillId="6" borderId="1" xfId="0" applyNumberFormat="1" applyFont="1" applyFill="1" applyBorder="1"/>
    <xf numFmtId="0" fontId="0" fillId="6" borderId="1" xfId="0" applyFill="1" applyBorder="1"/>
    <xf numFmtId="169" fontId="3" fillId="6" borderId="1" xfId="2" applyNumberFormat="1" applyFill="1" applyBorder="1"/>
    <xf numFmtId="167" fontId="0" fillId="6" borderId="1" xfId="0" applyNumberFormat="1" applyFill="1" applyBorder="1"/>
    <xf numFmtId="0" fontId="0" fillId="0" borderId="0" xfId="0" applyAlignment="1">
      <alignment horizontal="center"/>
    </xf>
    <xf numFmtId="10" fontId="0" fillId="0" borderId="1" xfId="3" applyNumberFormat="1" applyFont="1" applyBorder="1" applyAlignment="1">
      <alignment horizontal="center"/>
    </xf>
    <xf numFmtId="2" fontId="26" fillId="0" borderId="1" xfId="0" applyNumberFormat="1" applyFont="1" applyBorder="1" applyAlignment="1">
      <alignment horizontal="center"/>
    </xf>
    <xf numFmtId="2" fontId="26" fillId="0" borderId="0" xfId="0" applyNumberFormat="1" applyFont="1"/>
    <xf numFmtId="2" fontId="8" fillId="0" borderId="0" xfId="0" applyNumberFormat="1" applyFont="1"/>
    <xf numFmtId="1" fontId="26" fillId="0" borderId="1" xfId="0" applyNumberFormat="1" applyFont="1" applyBorder="1" applyAlignment="1">
      <alignment horizontal="center"/>
    </xf>
    <xf numFmtId="2" fontId="26" fillId="3" borderId="1" xfId="0" applyNumberFormat="1" applyFont="1" applyFill="1" applyBorder="1" applyAlignment="1">
      <alignment horizontal="center"/>
    </xf>
    <xf numFmtId="2" fontId="27" fillId="0" borderId="0" xfId="0" applyNumberFormat="1" applyFont="1"/>
    <xf numFmtId="2" fontId="26" fillId="0" borderId="13" xfId="0" applyNumberFormat="1" applyFont="1" applyBorder="1" applyAlignment="1">
      <alignment horizontal="centerContinuous"/>
    </xf>
    <xf numFmtId="2" fontId="26" fillId="0" borderId="18" xfId="0" applyNumberFormat="1" applyFont="1" applyBorder="1" applyAlignment="1">
      <alignment horizontal="centerContinuous"/>
    </xf>
    <xf numFmtId="2" fontId="26" fillId="0" borderId="3" xfId="0" applyNumberFormat="1" applyFont="1" applyBorder="1" applyAlignment="1">
      <alignment horizontal="center"/>
    </xf>
    <xf numFmtId="0" fontId="0" fillId="0" borderId="1" xfId="0" applyBorder="1" applyAlignment="1">
      <alignment horizontal="center"/>
    </xf>
    <xf numFmtId="0" fontId="12" fillId="5" borderId="22" xfId="0" applyFont="1" applyFill="1" applyBorder="1" applyAlignment="1">
      <alignment vertical="center" wrapText="1"/>
    </xf>
    <xf numFmtId="0" fontId="9" fillId="5" borderId="14" xfId="0" applyFont="1" applyFill="1" applyBorder="1" applyAlignment="1">
      <alignment horizontal="center" vertical="center" wrapText="1"/>
    </xf>
    <xf numFmtId="0" fontId="9" fillId="5" borderId="23" xfId="0" applyFont="1" applyFill="1" applyBorder="1" applyAlignment="1">
      <alignment horizontal="center" vertical="center" wrapText="1"/>
    </xf>
    <xf numFmtId="0" fontId="8" fillId="6" borderId="1" xfId="0" applyFont="1" applyFill="1" applyBorder="1" applyAlignment="1">
      <alignment horizontal="left" vertical="center" wrapText="1"/>
    </xf>
    <xf numFmtId="0" fontId="8" fillId="6" borderId="24" xfId="0" applyFont="1" applyFill="1" applyBorder="1" applyAlignment="1">
      <alignment horizontal="left" vertical="center" wrapText="1"/>
    </xf>
    <xf numFmtId="9" fontId="8" fillId="6" borderId="1" xfId="3" applyFont="1" applyFill="1" applyBorder="1" applyAlignment="1">
      <alignment horizontal="left" vertical="center" wrapText="1"/>
    </xf>
    <xf numFmtId="0" fontId="8" fillId="6" borderId="24" xfId="0" applyFont="1" applyFill="1" applyBorder="1" applyAlignment="1">
      <alignment horizontal="left" vertical="center"/>
    </xf>
    <xf numFmtId="0" fontId="8" fillId="6" borderId="1" xfId="0" applyFont="1" applyFill="1" applyBorder="1" applyAlignment="1">
      <alignment horizontal="left"/>
    </xf>
    <xf numFmtId="0" fontId="8" fillId="6" borderId="24" xfId="0" applyFont="1" applyFill="1" applyBorder="1" applyAlignment="1">
      <alignment horizontal="left"/>
    </xf>
    <xf numFmtId="10" fontId="8" fillId="6" borderId="25" xfId="3" applyNumberFormat="1" applyFont="1" applyFill="1" applyBorder="1" applyAlignment="1">
      <alignment horizontal="left"/>
    </xf>
    <xf numFmtId="0" fontId="8" fillId="6" borderId="26" xfId="0" applyFont="1" applyFill="1" applyBorder="1" applyAlignment="1">
      <alignment horizontal="left"/>
    </xf>
    <xf numFmtId="0" fontId="8" fillId="5" borderId="22" xfId="0" applyFont="1" applyFill="1" applyBorder="1" applyAlignment="1">
      <alignment vertical="center"/>
    </xf>
    <xf numFmtId="0" fontId="8" fillId="5" borderId="27" xfId="0" applyFont="1" applyFill="1" applyBorder="1"/>
    <xf numFmtId="0" fontId="8" fillId="5" borderId="28" xfId="0" applyFont="1" applyFill="1" applyBorder="1"/>
    <xf numFmtId="0" fontId="19" fillId="0" borderId="0" xfId="0" applyFont="1"/>
    <xf numFmtId="0" fontId="8" fillId="4" borderId="1" xfId="0" applyFont="1" applyFill="1" applyBorder="1"/>
    <xf numFmtId="10" fontId="8" fillId="4" borderId="1" xfId="0" applyNumberFormat="1" applyFont="1" applyFill="1" applyBorder="1" applyAlignment="1">
      <alignment horizontal="center"/>
    </xf>
    <xf numFmtId="10" fontId="8" fillId="6" borderId="1" xfId="0" applyNumberFormat="1" applyFont="1" applyFill="1" applyBorder="1" applyAlignment="1">
      <alignment horizontal="center"/>
    </xf>
    <xf numFmtId="0" fontId="36" fillId="0" borderId="1" xfId="0" applyFont="1" applyBorder="1" applyAlignment="1">
      <alignment horizontal="center"/>
    </xf>
    <xf numFmtId="9" fontId="8" fillId="6" borderId="1" xfId="0" applyNumberFormat="1" applyFont="1" applyFill="1" applyBorder="1" applyAlignment="1">
      <alignment horizontal="center"/>
    </xf>
    <xf numFmtId="0" fontId="8" fillId="6" borderId="2" xfId="0" applyFont="1" applyFill="1" applyBorder="1" applyAlignment="1">
      <alignment horizontal="center"/>
    </xf>
    <xf numFmtId="0" fontId="28" fillId="0" borderId="0" xfId="0" applyFont="1"/>
    <xf numFmtId="2" fontId="8" fillId="4" borderId="1" xfId="0" applyNumberFormat="1" applyFont="1" applyFill="1" applyBorder="1"/>
    <xf numFmtId="0" fontId="20" fillId="0" borderId="0" xfId="0" applyFont="1" applyAlignment="1">
      <alignment horizontal="left"/>
    </xf>
    <xf numFmtId="0" fontId="2" fillId="0" borderId="1" xfId="0" applyFont="1" applyBorder="1" applyAlignment="1">
      <alignment horizontal="center" wrapText="1"/>
    </xf>
    <xf numFmtId="0" fontId="9" fillId="5" borderId="0" xfId="0" applyFont="1" applyFill="1"/>
    <xf numFmtId="0" fontId="28" fillId="5" borderId="0" xfId="0" applyFont="1" applyFill="1"/>
    <xf numFmtId="0" fontId="30" fillId="0" borderId="0" xfId="0" applyFont="1"/>
    <xf numFmtId="0" fontId="2" fillId="0" borderId="1" xfId="0" applyFont="1" applyBorder="1"/>
    <xf numFmtId="0" fontId="37" fillId="0" borderId="31" xfId="0" applyFont="1" applyBorder="1" applyAlignment="1">
      <alignment horizontal="center"/>
    </xf>
    <xf numFmtId="0" fontId="37" fillId="0" borderId="14" xfId="0" applyFont="1" applyBorder="1" applyAlignment="1">
      <alignment horizontal="center"/>
    </xf>
    <xf numFmtId="16" fontId="37" fillId="0" borderId="14" xfId="0" applyNumberFormat="1" applyFont="1" applyBorder="1" applyAlignment="1">
      <alignment horizontal="center"/>
    </xf>
    <xf numFmtId="0" fontId="37" fillId="0" borderId="32" xfId="0" applyFont="1" applyBorder="1" applyAlignment="1">
      <alignment horizontal="center"/>
    </xf>
    <xf numFmtId="0" fontId="37" fillId="0" borderId="33" xfId="0" applyFont="1" applyBorder="1"/>
    <xf numFmtId="0" fontId="38" fillId="0" borderId="35" xfId="0" applyFont="1" applyBorder="1"/>
    <xf numFmtId="0" fontId="38" fillId="0" borderId="36" xfId="0" applyFont="1" applyBorder="1"/>
    <xf numFmtId="166" fontId="38" fillId="0" borderId="1" xfId="2" applyNumberFormat="1" applyFont="1" applyBorder="1" applyAlignment="1">
      <alignment horizontal="center"/>
    </xf>
    <xf numFmtId="10" fontId="38" fillId="0" borderId="1" xfId="0" applyNumberFormat="1" applyFont="1" applyBorder="1" applyAlignment="1">
      <alignment horizontal="center"/>
    </xf>
    <xf numFmtId="0" fontId="38" fillId="0" borderId="1" xfId="0" applyFont="1" applyBorder="1" applyAlignment="1">
      <alignment horizontal="center"/>
    </xf>
    <xf numFmtId="10" fontId="38" fillId="0" borderId="13" xfId="0" applyNumberFormat="1" applyFont="1" applyBorder="1" applyAlignment="1">
      <alignment horizontal="center"/>
    </xf>
    <xf numFmtId="10" fontId="38" fillId="0" borderId="18" xfId="0" applyNumberFormat="1" applyFont="1" applyBorder="1" applyAlignment="1">
      <alignment horizontal="center"/>
    </xf>
    <xf numFmtId="2" fontId="38" fillId="0" borderId="13" xfId="0" applyNumberFormat="1" applyFont="1" applyBorder="1"/>
    <xf numFmtId="2" fontId="38" fillId="0" borderId="18" xfId="0" applyNumberFormat="1" applyFont="1" applyBorder="1" applyAlignment="1">
      <alignment horizontal="left"/>
    </xf>
    <xf numFmtId="10" fontId="38" fillId="0" borderId="13" xfId="3" applyNumberFormat="1" applyFont="1" applyBorder="1" applyAlignment="1">
      <alignment horizontal="right"/>
    </xf>
    <xf numFmtId="10" fontId="38" fillId="0" borderId="18" xfId="3" applyNumberFormat="1" applyFont="1" applyBorder="1" applyAlignment="1">
      <alignment horizontal="center"/>
    </xf>
    <xf numFmtId="0" fontId="38" fillId="0" borderId="37" xfId="0" applyFont="1" applyBorder="1"/>
    <xf numFmtId="10" fontId="38" fillId="0" borderId="25" xfId="0" applyNumberFormat="1" applyFont="1" applyBorder="1" applyAlignment="1">
      <alignment horizontal="center"/>
    </xf>
    <xf numFmtId="0" fontId="38" fillId="0" borderId="36" xfId="0" applyFont="1" applyBorder="1" applyAlignment="1">
      <alignment horizontal="center"/>
    </xf>
    <xf numFmtId="10" fontId="38" fillId="0" borderId="1" xfId="3" applyNumberFormat="1" applyFont="1" applyBorder="1" applyAlignment="1">
      <alignment horizontal="center"/>
    </xf>
    <xf numFmtId="0" fontId="38" fillId="0" borderId="37" xfId="0" applyFont="1" applyBorder="1" applyAlignment="1">
      <alignment horizontal="center"/>
    </xf>
    <xf numFmtId="10" fontId="38" fillId="0" borderId="25" xfId="3" applyNumberFormat="1" applyFont="1" applyBorder="1" applyAlignment="1">
      <alignment horizontal="center"/>
    </xf>
    <xf numFmtId="166" fontId="38" fillId="0" borderId="33" xfId="2" applyNumberFormat="1" applyFont="1" applyBorder="1"/>
    <xf numFmtId="166" fontId="38" fillId="0" borderId="6" xfId="2" applyNumberFormat="1" applyFont="1" applyBorder="1"/>
    <xf numFmtId="0" fontId="38" fillId="0" borderId="6" xfId="0" applyFont="1" applyBorder="1"/>
    <xf numFmtId="0" fontId="38" fillId="0" borderId="7" xfId="0" applyFont="1" applyBorder="1"/>
    <xf numFmtId="166" fontId="38" fillId="0" borderId="1" xfId="2" applyNumberFormat="1" applyFont="1" applyBorder="1"/>
    <xf numFmtId="166" fontId="38" fillId="0" borderId="0" xfId="2" applyNumberFormat="1" applyFont="1"/>
    <xf numFmtId="0" fontId="38" fillId="0" borderId="12" xfId="0" applyFont="1" applyBorder="1"/>
    <xf numFmtId="0" fontId="38" fillId="0" borderId="0" xfId="0" applyFont="1"/>
    <xf numFmtId="0" fontId="38" fillId="0" borderId="0" xfId="0" applyFont="1" applyAlignment="1">
      <alignment horizontal="left"/>
    </xf>
    <xf numFmtId="43" fontId="38" fillId="0" borderId="1" xfId="0" applyNumberFormat="1" applyFont="1" applyBorder="1"/>
    <xf numFmtId="0" fontId="38" fillId="0" borderId="5" xfId="0" applyFont="1" applyBorder="1"/>
    <xf numFmtId="0" fontId="38" fillId="0" borderId="38" xfId="0" applyFont="1" applyBorder="1"/>
    <xf numFmtId="0" fontId="38" fillId="0" borderId="39" xfId="0" applyFont="1" applyBorder="1"/>
    <xf numFmtId="10" fontId="38" fillId="0" borderId="20" xfId="3" applyNumberFormat="1" applyFont="1" applyBorder="1" applyAlignment="1">
      <alignment horizontal="right"/>
    </xf>
    <xf numFmtId="10" fontId="38" fillId="0" borderId="17" xfId="3" applyNumberFormat="1" applyFont="1" applyBorder="1" applyAlignment="1">
      <alignment horizontal="center"/>
    </xf>
    <xf numFmtId="0" fontId="38" fillId="0" borderId="16" xfId="0" applyFont="1" applyBorder="1"/>
    <xf numFmtId="10" fontId="38" fillId="0" borderId="3" xfId="0" applyNumberFormat="1" applyFont="1" applyBorder="1" applyAlignment="1">
      <alignment horizontal="center"/>
    </xf>
    <xf numFmtId="0" fontId="38" fillId="0" borderId="34" xfId="0" applyFont="1" applyBorder="1" applyAlignment="1">
      <alignment horizontal="center"/>
    </xf>
    <xf numFmtId="0" fontId="38" fillId="0" borderId="40" xfId="0" applyFont="1" applyBorder="1" applyAlignment="1">
      <alignment horizontal="center"/>
    </xf>
    <xf numFmtId="2" fontId="38" fillId="0" borderId="15" xfId="0" applyNumberFormat="1" applyFont="1" applyBorder="1"/>
    <xf numFmtId="10" fontId="38" fillId="0" borderId="17" xfId="3" applyNumberFormat="1" applyFont="1" applyBorder="1" applyAlignment="1">
      <alignment horizontal="left"/>
    </xf>
    <xf numFmtId="0" fontId="37" fillId="0" borderId="42" xfId="0" applyFont="1" applyBorder="1" applyAlignment="1">
      <alignment horizontal="left"/>
    </xf>
    <xf numFmtId="166" fontId="38" fillId="0" borderId="13" xfId="2" applyNumberFormat="1" applyFont="1" applyBorder="1"/>
    <xf numFmtId="10" fontId="38" fillId="0" borderId="18" xfId="0" applyNumberFormat="1" applyFont="1" applyBorder="1" applyAlignment="1">
      <alignment horizontal="left"/>
    </xf>
    <xf numFmtId="0" fontId="29" fillId="0" borderId="1" xfId="0" applyFont="1" applyBorder="1" applyAlignment="1">
      <alignment horizontal="center"/>
    </xf>
    <xf numFmtId="0" fontId="0" fillId="4" borderId="1" xfId="0" applyFill="1" applyBorder="1"/>
    <xf numFmtId="10" fontId="8" fillId="4" borderId="1" xfId="0" applyNumberFormat="1" applyFont="1" applyFill="1" applyBorder="1"/>
    <xf numFmtId="10" fontId="36" fillId="0" borderId="30" xfId="3" applyNumberFormat="1" applyFont="1" applyBorder="1" applyAlignment="1">
      <alignment horizontal="center"/>
    </xf>
    <xf numFmtId="10" fontId="0" fillId="0" borderId="0" xfId="0" applyNumberFormat="1"/>
    <xf numFmtId="0" fontId="36" fillId="4" borderId="1" xfId="0" applyFont="1" applyFill="1" applyBorder="1"/>
    <xf numFmtId="0" fontId="39" fillId="0" borderId="43" xfId="0" applyFont="1" applyBorder="1" applyAlignment="1">
      <alignment vertical="center" wrapText="1"/>
    </xf>
    <xf numFmtId="0" fontId="40" fillId="0" borderId="0" xfId="0" applyFont="1"/>
    <xf numFmtId="10" fontId="40" fillId="0" borderId="0" xfId="0" applyNumberFormat="1" applyFont="1"/>
    <xf numFmtId="2" fontId="40" fillId="0" borderId="0" xfId="0" applyNumberFormat="1" applyFont="1"/>
    <xf numFmtId="10" fontId="40" fillId="0" borderId="0" xfId="3" applyNumberFormat="1" applyFont="1"/>
    <xf numFmtId="10" fontId="0" fillId="0" borderId="0" xfId="3" applyNumberFormat="1" applyFont="1"/>
    <xf numFmtId="167" fontId="0" fillId="0" borderId="0" xfId="0" applyNumberFormat="1"/>
    <xf numFmtId="0" fontId="32" fillId="0" borderId="13" xfId="0" applyFont="1" applyBorder="1" applyAlignment="1">
      <alignment horizontal="center"/>
    </xf>
    <xf numFmtId="0" fontId="2" fillId="0" borderId="1" xfId="0" applyFont="1" applyBorder="1" applyAlignment="1">
      <alignment horizontal="center"/>
    </xf>
    <xf numFmtId="0" fontId="2" fillId="0" borderId="0" xfId="0" applyFont="1" applyAlignment="1">
      <alignment wrapText="1"/>
    </xf>
    <xf numFmtId="10" fontId="0" fillId="4" borderId="1" xfId="0" applyNumberFormat="1" applyFill="1" applyBorder="1"/>
    <xf numFmtId="0" fontId="45" fillId="0" borderId="0" xfId="0" applyFont="1"/>
    <xf numFmtId="0" fontId="15" fillId="0" borderId="1" xfId="0" applyFont="1" applyBorder="1"/>
    <xf numFmtId="10" fontId="16" fillId="0" borderId="1" xfId="3" applyNumberFormat="1" applyFont="1" applyBorder="1" applyAlignment="1">
      <alignment horizontal="center"/>
    </xf>
    <xf numFmtId="0" fontId="38" fillId="0" borderId="1" xfId="0" applyFont="1" applyBorder="1"/>
    <xf numFmtId="10" fontId="16" fillId="0" borderId="1" xfId="0" applyNumberFormat="1" applyFont="1" applyBorder="1" applyAlignment="1">
      <alignment horizontal="center"/>
    </xf>
    <xf numFmtId="17" fontId="47" fillId="4" borderId="1" xfId="0" applyNumberFormat="1" applyFont="1" applyFill="1" applyBorder="1" applyAlignment="1">
      <alignment horizontal="center"/>
    </xf>
    <xf numFmtId="0" fontId="46" fillId="0" borderId="15" xfId="0" applyFont="1" applyBorder="1"/>
    <xf numFmtId="0" fontId="48" fillId="0" borderId="16" xfId="0" applyFont="1" applyBorder="1"/>
    <xf numFmtId="0" fontId="48" fillId="0" borderId="17" xfId="0" applyFont="1" applyBorder="1"/>
    <xf numFmtId="0" fontId="48" fillId="0" borderId="0" xfId="0" applyFont="1"/>
    <xf numFmtId="0" fontId="49" fillId="4" borderId="1" xfId="0" applyFont="1" applyFill="1" applyBorder="1" applyAlignment="1">
      <alignment horizontal="center"/>
    </xf>
    <xf numFmtId="0" fontId="46" fillId="0" borderId="20" xfId="0" applyFont="1" applyBorder="1"/>
    <xf numFmtId="0" fontId="46" fillId="0" borderId="21" xfId="0" applyFont="1" applyBorder="1"/>
    <xf numFmtId="0" fontId="50" fillId="0" borderId="1" xfId="0" applyFont="1" applyBorder="1"/>
    <xf numFmtId="0" fontId="46" fillId="4" borderId="1" xfId="0" applyFont="1" applyFill="1" applyBorder="1"/>
    <xf numFmtId="0" fontId="51" fillId="0" borderId="0" xfId="0" applyFont="1"/>
    <xf numFmtId="0" fontId="46" fillId="0" borderId="1" xfId="0" applyFont="1" applyBorder="1"/>
    <xf numFmtId="2" fontId="46" fillId="4" borderId="14" xfId="2" applyNumberFormat="1" applyFont="1" applyFill="1" applyBorder="1" applyAlignment="1">
      <alignment horizontal="center"/>
    </xf>
    <xf numFmtId="0" fontId="47" fillId="0" borderId="10" xfId="0" applyFont="1" applyBorder="1"/>
    <xf numFmtId="0" fontId="46" fillId="0" borderId="6" xfId="0" applyFont="1" applyBorder="1"/>
    <xf numFmtId="0" fontId="46" fillId="0" borderId="7" xfId="0" applyFont="1" applyBorder="1"/>
    <xf numFmtId="10" fontId="46" fillId="4" borderId="1" xfId="2" applyNumberFormat="1" applyFont="1" applyFill="1" applyBorder="1" applyAlignment="1">
      <alignment horizontal="center"/>
    </xf>
    <xf numFmtId="0" fontId="50" fillId="0" borderId="11" xfId="0" applyFont="1" applyBorder="1"/>
    <xf numFmtId="0" fontId="46" fillId="0" borderId="12" xfId="0" applyFont="1" applyBorder="1"/>
    <xf numFmtId="0" fontId="46" fillId="0" borderId="0" xfId="0" applyFont="1" applyAlignment="1">
      <alignment horizontal="right"/>
    </xf>
    <xf numFmtId="0" fontId="47" fillId="0" borderId="11" xfId="0" applyFont="1" applyBorder="1"/>
    <xf numFmtId="0" fontId="47" fillId="0" borderId="0" xfId="0" applyFont="1"/>
    <xf numFmtId="10" fontId="46" fillId="10" borderId="1" xfId="0" applyNumberFormat="1" applyFont="1" applyFill="1" applyBorder="1"/>
    <xf numFmtId="10" fontId="46" fillId="10" borderId="1" xfId="3" applyNumberFormat="1" applyFont="1" applyFill="1" applyBorder="1"/>
    <xf numFmtId="10" fontId="46" fillId="4" borderId="1" xfId="0" applyNumberFormat="1" applyFont="1" applyFill="1" applyBorder="1" applyAlignment="1">
      <alignment horizontal="center"/>
    </xf>
    <xf numFmtId="2" fontId="46" fillId="10" borderId="1" xfId="0" applyNumberFormat="1" applyFont="1" applyFill="1" applyBorder="1"/>
    <xf numFmtId="10" fontId="46" fillId="5" borderId="0" xfId="3" applyNumberFormat="1" applyFont="1" applyFill="1"/>
    <xf numFmtId="10" fontId="46" fillId="10" borderId="3" xfId="3" applyNumberFormat="1" applyFont="1" applyFill="1" applyBorder="1"/>
    <xf numFmtId="2" fontId="46" fillId="4" borderId="1" xfId="0" applyNumberFormat="1" applyFont="1" applyFill="1" applyBorder="1" applyAlignment="1">
      <alignment horizontal="center"/>
    </xf>
    <xf numFmtId="0" fontId="46" fillId="0" borderId="8" xfId="0" applyFont="1" applyBorder="1"/>
    <xf numFmtId="0" fontId="46" fillId="0" borderId="9" xfId="0" applyFont="1" applyBorder="1"/>
    <xf numFmtId="10" fontId="46" fillId="10" borderId="25" xfId="3" applyNumberFormat="1" applyFont="1" applyFill="1" applyBorder="1"/>
    <xf numFmtId="10" fontId="46" fillId="0" borderId="0" xfId="0" applyNumberFormat="1" applyFont="1"/>
    <xf numFmtId="0" fontId="46" fillId="0" borderId="11" xfId="0" applyFont="1" applyBorder="1"/>
    <xf numFmtId="166" fontId="46" fillId="10" borderId="1" xfId="0" applyNumberFormat="1" applyFont="1" applyFill="1" applyBorder="1"/>
    <xf numFmtId="10" fontId="46" fillId="5" borderId="0" xfId="0" applyNumberFormat="1" applyFont="1" applyFill="1" applyAlignment="1">
      <alignment horizontal="center"/>
    </xf>
    <xf numFmtId="0" fontId="50" fillId="0" borderId="8" xfId="0" applyFont="1" applyBorder="1"/>
    <xf numFmtId="0" fontId="46" fillId="0" borderId="29" xfId="0" applyFont="1" applyBorder="1"/>
    <xf numFmtId="2" fontId="46" fillId="0" borderId="0" xfId="0" applyNumberFormat="1" applyFont="1" applyAlignment="1">
      <alignment horizontal="center"/>
    </xf>
    <xf numFmtId="10" fontId="46" fillId="0" borderId="0" xfId="0" applyNumberFormat="1" applyFont="1" applyAlignment="1">
      <alignment horizontal="center"/>
    </xf>
    <xf numFmtId="0" fontId="52" fillId="5" borderId="0" xfId="0" applyFont="1" applyFill="1"/>
    <xf numFmtId="0" fontId="50" fillId="0" borderId="0" xfId="0" applyFont="1"/>
    <xf numFmtId="0" fontId="50" fillId="5" borderId="0" xfId="0" applyFont="1" applyFill="1"/>
    <xf numFmtId="0" fontId="46" fillId="0" borderId="0" xfId="0" applyFont="1"/>
    <xf numFmtId="0" fontId="46" fillId="4" borderId="1" xfId="0" applyFont="1" applyFill="1" applyBorder="1" applyAlignment="1">
      <alignment horizontal="center"/>
    </xf>
    <xf numFmtId="9" fontId="46" fillId="4" borderId="1" xfId="0" applyNumberFormat="1" applyFont="1" applyFill="1" applyBorder="1" applyAlignment="1">
      <alignment horizontal="center"/>
    </xf>
    <xf numFmtId="9" fontId="46" fillId="5" borderId="0" xfId="0" applyNumberFormat="1" applyFont="1" applyFill="1" applyAlignment="1">
      <alignment horizontal="center"/>
    </xf>
    <xf numFmtId="0" fontId="53" fillId="0" borderId="0" xfId="0" applyFont="1"/>
    <xf numFmtId="10" fontId="46" fillId="4" borderId="1" xfId="3" applyNumberFormat="1" applyFont="1" applyFill="1" applyBorder="1" applyAlignment="1">
      <alignment horizontal="center"/>
    </xf>
    <xf numFmtId="0" fontId="46" fillId="5" borderId="0" xfId="0" applyFont="1" applyFill="1"/>
    <xf numFmtId="10" fontId="1" fillId="0" borderId="1" xfId="3" applyNumberFormat="1" applyFont="1" applyBorder="1" applyAlignment="1">
      <alignment horizontal="center"/>
    </xf>
    <xf numFmtId="10" fontId="54" fillId="0" borderId="30" xfId="0" applyNumberFormat="1" applyFont="1" applyBorder="1" applyAlignment="1">
      <alignment horizontal="center"/>
    </xf>
    <xf numFmtId="0" fontId="36" fillId="0" borderId="0" xfId="0" applyFont="1" applyAlignment="1">
      <alignment horizontal="center"/>
    </xf>
    <xf numFmtId="0" fontId="2" fillId="0" borderId="1" xfId="0" applyFont="1" applyBorder="1" applyAlignment="1">
      <alignment wrapText="1"/>
    </xf>
    <xf numFmtId="10" fontId="2" fillId="0" borderId="1" xfId="0" applyNumberFormat="1" applyFont="1" applyBorder="1" applyAlignment="1">
      <alignment horizontal="center" wrapText="1"/>
    </xf>
    <xf numFmtId="2" fontId="2" fillId="0" borderId="1" xfId="0" applyNumberFormat="1" applyFont="1" applyBorder="1" applyAlignment="1">
      <alignment horizontal="center" wrapText="1"/>
    </xf>
    <xf numFmtId="0" fontId="25" fillId="0" borderId="0" xfId="0" applyFont="1" applyAlignment="1">
      <alignment horizontal="left"/>
    </xf>
    <xf numFmtId="10" fontId="25" fillId="0" borderId="0" xfId="0" applyNumberFormat="1" applyFont="1"/>
    <xf numFmtId="2" fontId="25" fillId="0" borderId="0" xfId="0" applyNumberFormat="1" applyFont="1"/>
    <xf numFmtId="10" fontId="29" fillId="0" borderId="0" xfId="0" applyNumberFormat="1" applyFont="1"/>
    <xf numFmtId="0" fontId="38" fillId="0" borderId="5" xfId="0" applyFont="1" applyBorder="1" applyAlignment="1">
      <alignment horizontal="left"/>
    </xf>
    <xf numFmtId="44" fontId="46" fillId="4" borderId="1" xfId="2" applyFont="1" applyFill="1" applyBorder="1" applyAlignment="1">
      <alignment horizontal="center"/>
    </xf>
    <xf numFmtId="44" fontId="46" fillId="8" borderId="18" xfId="0" applyNumberFormat="1" applyFont="1" applyFill="1" applyBorder="1" applyAlignment="1">
      <alignment horizontal="center"/>
    </xf>
    <xf numFmtId="44" fontId="51" fillId="9" borderId="18" xfId="0" applyNumberFormat="1" applyFont="1" applyFill="1" applyBorder="1" applyAlignment="1">
      <alignment horizontal="left"/>
    </xf>
    <xf numFmtId="44" fontId="46" fillId="4" borderId="14" xfId="2" applyFont="1" applyFill="1" applyBorder="1" applyAlignment="1">
      <alignment horizontal="center"/>
    </xf>
    <xf numFmtId="44" fontId="46" fillId="0" borderId="0" xfId="2" applyFont="1" applyAlignment="1">
      <alignment horizontal="center"/>
    </xf>
    <xf numFmtId="44" fontId="46" fillId="0" borderId="0" xfId="0" applyNumberFormat="1" applyFont="1"/>
    <xf numFmtId="165" fontId="46" fillId="4" borderId="1" xfId="0" applyNumberFormat="1" applyFont="1" applyFill="1" applyBorder="1" applyAlignment="1">
      <alignment horizontal="center"/>
    </xf>
    <xf numFmtId="165" fontId="46" fillId="0" borderId="0" xfId="0" applyNumberFormat="1" applyFont="1" applyAlignment="1">
      <alignment horizontal="center"/>
    </xf>
    <xf numFmtId="44" fontId="16" fillId="6" borderId="1" xfId="2" applyFont="1" applyFill="1" applyBorder="1"/>
    <xf numFmtId="44" fontId="16" fillId="6" borderId="1" xfId="2" applyFont="1" applyFill="1" applyBorder="1" applyAlignment="1">
      <alignment horizontal="center"/>
    </xf>
    <xf numFmtId="44" fontId="16" fillId="7" borderId="1" xfId="2" applyFont="1" applyFill="1" applyBorder="1" applyAlignment="1">
      <alignment horizontal="center"/>
    </xf>
    <xf numFmtId="44" fontId="0" fillId="7" borderId="1" xfId="0" applyNumberFormat="1" applyFill="1" applyBorder="1"/>
    <xf numFmtId="44" fontId="16" fillId="6" borderId="1" xfId="0" applyNumberFormat="1" applyFont="1" applyFill="1" applyBorder="1" applyAlignment="1">
      <alignment horizontal="center"/>
    </xf>
    <xf numFmtId="44" fontId="16" fillId="6" borderId="1" xfId="0" applyNumberFormat="1" applyFont="1" applyFill="1" applyBorder="1"/>
    <xf numFmtId="165" fontId="16" fillId="6" borderId="1" xfId="0" applyNumberFormat="1" applyFont="1" applyFill="1" applyBorder="1"/>
    <xf numFmtId="8" fontId="16" fillId="6" borderId="1" xfId="0" applyNumberFormat="1" applyFont="1" applyFill="1" applyBorder="1"/>
    <xf numFmtId="44" fontId="35" fillId="6" borderId="1" xfId="2" applyFont="1" applyFill="1" applyBorder="1"/>
    <xf numFmtId="171" fontId="38" fillId="0" borderId="1" xfId="2" applyNumberFormat="1" applyFont="1" applyBorder="1"/>
    <xf numFmtId="171" fontId="38" fillId="0" borderId="13" xfId="2" applyNumberFormat="1" applyFont="1" applyBorder="1" applyAlignment="1">
      <alignment horizontal="left"/>
    </xf>
    <xf numFmtId="171" fontId="38" fillId="0" borderId="25" xfId="2" applyNumberFormat="1" applyFont="1" applyBorder="1"/>
    <xf numFmtId="44" fontId="34" fillId="0" borderId="34" xfId="2" applyFont="1" applyBorder="1"/>
    <xf numFmtId="165" fontId="38" fillId="0" borderId="41" xfId="0" applyNumberFormat="1" applyFont="1" applyBorder="1" applyAlignment="1">
      <alignment horizontal="left"/>
    </xf>
    <xf numFmtId="165" fontId="0" fillId="0" borderId="1" xfId="0" applyNumberFormat="1" applyBorder="1" applyAlignment="1">
      <alignment horizontal="center"/>
    </xf>
    <xf numFmtId="165" fontId="0" fillId="0" borderId="1" xfId="0" applyNumberFormat="1" applyBorder="1"/>
    <xf numFmtId="165" fontId="0" fillId="0" borderId="1" xfId="3" applyNumberFormat="1" applyFont="1" applyBorder="1" applyAlignment="1">
      <alignment horizontal="center"/>
    </xf>
    <xf numFmtId="165" fontId="2" fillId="0" borderId="0" xfId="0" applyNumberFormat="1" applyFont="1" applyAlignment="1">
      <alignment horizontal="center"/>
    </xf>
    <xf numFmtId="165" fontId="2" fillId="0" borderId="0" xfId="0" applyNumberFormat="1" applyFont="1"/>
    <xf numFmtId="165" fontId="0" fillId="4" borderId="1" xfId="0" applyNumberFormat="1" applyFill="1" applyBorder="1" applyAlignment="1">
      <alignment horizontal="center"/>
    </xf>
    <xf numFmtId="165" fontId="0" fillId="0" borderId="0" xfId="0" applyNumberFormat="1" applyAlignment="1">
      <alignment horizontal="center"/>
    </xf>
    <xf numFmtId="165" fontId="0" fillId="0" borderId="0" xfId="0" applyNumberFormat="1"/>
    <xf numFmtId="44" fontId="3" fillId="4" borderId="1" xfId="2" applyFill="1" applyBorder="1" applyAlignment="1">
      <alignment horizontal="center"/>
    </xf>
    <xf numFmtId="44" fontId="25" fillId="6" borderId="1" xfId="2" applyFont="1" applyFill="1" applyBorder="1"/>
    <xf numFmtId="44" fontId="40" fillId="0" borderId="0" xfId="0" applyNumberFormat="1" applyFont="1"/>
    <xf numFmtId="44" fontId="31" fillId="0" borderId="0" xfId="0" applyNumberFormat="1" applyFont="1"/>
    <xf numFmtId="44" fontId="40" fillId="0" borderId="0" xfId="2" applyFont="1"/>
    <xf numFmtId="44" fontId="0" fillId="0" borderId="0" xfId="0" applyNumberFormat="1"/>
    <xf numFmtId="44" fontId="8" fillId="3" borderId="1" xfId="2" applyFont="1" applyFill="1" applyBorder="1"/>
    <xf numFmtId="172" fontId="29" fillId="0" borderId="0" xfId="0" applyNumberFormat="1" applyFont="1" applyAlignment="1">
      <alignment horizontal="right"/>
    </xf>
    <xf numFmtId="44" fontId="8" fillId="0" borderId="0" xfId="2" applyFont="1"/>
    <xf numFmtId="44" fontId="8" fillId="2" borderId="1" xfId="0" applyNumberFormat="1" applyFont="1" applyFill="1" applyBorder="1"/>
    <xf numFmtId="44" fontId="8" fillId="2" borderId="1" xfId="2" applyFont="1" applyFill="1" applyBorder="1"/>
    <xf numFmtId="44" fontId="8" fillId="2" borderId="3" xfId="0" applyNumberFormat="1" applyFont="1" applyFill="1" applyBorder="1"/>
    <xf numFmtId="44" fontId="8" fillId="2" borderId="3" xfId="2" applyFont="1" applyFill="1" applyBorder="1"/>
    <xf numFmtId="44" fontId="8" fillId="2" borderId="2" xfId="0" applyNumberFormat="1" applyFont="1" applyFill="1" applyBorder="1"/>
    <xf numFmtId="8" fontId="8" fillId="2" borderId="2" xfId="0" applyNumberFormat="1" applyFont="1" applyFill="1" applyBorder="1"/>
    <xf numFmtId="44" fontId="8" fillId="2" borderId="4" xfId="0" applyNumberFormat="1" applyFont="1" applyFill="1" applyBorder="1"/>
    <xf numFmtId="165" fontId="0" fillId="6" borderId="1" xfId="0" applyNumberFormat="1" applyFill="1" applyBorder="1"/>
    <xf numFmtId="44" fontId="26" fillId="0" borderId="1" xfId="2" applyFont="1" applyBorder="1"/>
    <xf numFmtId="44" fontId="26" fillId="0" borderId="3" xfId="2" applyFont="1" applyBorder="1"/>
    <xf numFmtId="165" fontId="8" fillId="0" borderId="2" xfId="0" applyNumberFormat="1" applyFont="1" applyBorder="1"/>
    <xf numFmtId="44" fontId="8" fillId="0" borderId="2" xfId="2" applyFont="1" applyBorder="1"/>
    <xf numFmtId="165" fontId="8" fillId="0" borderId="19" xfId="0" applyNumberFormat="1" applyFont="1" applyBorder="1"/>
    <xf numFmtId="6" fontId="8" fillId="0" borderId="1" xfId="2" applyNumberFormat="1" applyFont="1" applyBorder="1"/>
    <xf numFmtId="8" fontId="8" fillId="0" borderId="2" xfId="0" applyNumberFormat="1" applyFont="1" applyBorder="1"/>
    <xf numFmtId="44" fontId="8" fillId="6" borderId="1" xfId="0" applyNumberFormat="1" applyFont="1" applyFill="1" applyBorder="1"/>
    <xf numFmtId="168" fontId="8" fillId="6" borderId="1" xfId="3" applyNumberFormat="1" applyFont="1" applyFill="1" applyBorder="1"/>
    <xf numFmtId="170" fontId="8" fillId="3" borderId="1" xfId="0" applyNumberFormat="1" applyFont="1" applyFill="1" applyBorder="1"/>
    <xf numFmtId="168" fontId="8" fillId="6" borderId="1" xfId="0" applyNumberFormat="1" applyFont="1" applyFill="1" applyBorder="1"/>
    <xf numFmtId="44" fontId="8" fillId="6" borderId="1" xfId="2" applyFont="1" applyFill="1" applyBorder="1"/>
    <xf numFmtId="165" fontId="8" fillId="6" borderId="2" xfId="0" applyNumberFormat="1" applyFont="1" applyFill="1" applyBorder="1"/>
    <xf numFmtId="0" fontId="15" fillId="0" borderId="0" xfId="0" applyFont="1" applyBorder="1" applyAlignment="1">
      <alignment horizontal="center"/>
    </xf>
    <xf numFmtId="10" fontId="16" fillId="0" borderId="0" xfId="0" applyNumberFormat="1" applyFont="1" applyAlignment="1">
      <alignment horizontal="center"/>
    </xf>
    <xf numFmtId="2" fontId="51" fillId="0" borderId="0" xfId="0" applyNumberFormat="1" applyFont="1"/>
    <xf numFmtId="0" fontId="0" fillId="0" borderId="0" xfId="0"/>
    <xf numFmtId="2" fontId="46" fillId="0" borderId="0" xfId="0" applyNumberFormat="1" applyFont="1"/>
    <xf numFmtId="0" fontId="16" fillId="0" borderId="0" xfId="0" applyFont="1" applyAlignment="1">
      <alignment horizontal="right"/>
    </xf>
    <xf numFmtId="0" fontId="16" fillId="0" borderId="0" xfId="0" applyFont="1" applyBorder="1"/>
    <xf numFmtId="10" fontId="16" fillId="0" borderId="0" xfId="2" applyNumberFormat="1" applyFont="1" applyFill="1" applyBorder="1"/>
    <xf numFmtId="0" fontId="58" fillId="0" borderId="0" xfId="7" applyAlignment="1">
      <alignment horizontal="left"/>
    </xf>
    <xf numFmtId="0" fontId="57" fillId="14" borderId="0" xfId="5" applyAlignment="1">
      <alignment horizontal="right"/>
    </xf>
    <xf numFmtId="0" fontId="57" fillId="14" borderId="0" xfId="5" applyAlignment="1">
      <alignment horizontal="center"/>
    </xf>
    <xf numFmtId="0" fontId="57" fillId="15" borderId="0" xfId="6" applyAlignment="1">
      <alignment horizontal="center"/>
    </xf>
    <xf numFmtId="0" fontId="59" fillId="0" borderId="0" xfId="0" applyFont="1"/>
    <xf numFmtId="0" fontId="16" fillId="0" borderId="21" xfId="0" applyFont="1" applyBorder="1" applyAlignment="1">
      <alignment horizontal="center"/>
    </xf>
    <xf numFmtId="10" fontId="57" fillId="15" borderId="21" xfId="6" applyNumberFormat="1" applyBorder="1" applyAlignment="1">
      <alignment horizontal="center"/>
    </xf>
    <xf numFmtId="10" fontId="16" fillId="0" borderId="21" xfId="0" applyNumberFormat="1" applyFont="1" applyBorder="1" applyAlignment="1">
      <alignment horizontal="center"/>
    </xf>
    <xf numFmtId="0" fontId="16" fillId="0" borderId="0" xfId="2" applyNumberFormat="1" applyFont="1" applyFill="1" applyBorder="1"/>
    <xf numFmtId="0" fontId="0" fillId="0" borderId="0" xfId="0" applyAlignment="1">
      <alignment horizontal="right"/>
    </xf>
    <xf numFmtId="10" fontId="16" fillId="0" borderId="0" xfId="0" applyNumberFormat="1" applyFont="1" applyBorder="1" applyAlignment="1">
      <alignment horizontal="center"/>
    </xf>
    <xf numFmtId="0" fontId="16" fillId="0" borderId="20" xfId="0" applyFont="1" applyBorder="1" applyAlignment="1">
      <alignment horizontal="center"/>
    </xf>
    <xf numFmtId="0" fontId="16" fillId="0" borderId="51" xfId="0" applyFont="1" applyBorder="1" applyAlignment="1">
      <alignment horizontal="center"/>
    </xf>
    <xf numFmtId="10" fontId="16" fillId="0" borderId="52" xfId="0" applyNumberFormat="1" applyFont="1" applyBorder="1" applyAlignment="1">
      <alignment horizontal="center"/>
    </xf>
    <xf numFmtId="0" fontId="56" fillId="13" borderId="0" xfId="4" applyAlignment="1">
      <alignment horizontal="center"/>
    </xf>
    <xf numFmtId="0" fontId="52" fillId="0" borderId="0" xfId="0" applyFont="1"/>
    <xf numFmtId="0" fontId="19" fillId="0" borderId="0" xfId="0" applyFont="1"/>
    <xf numFmtId="0" fontId="47" fillId="0" borderId="2" xfId="0" applyFont="1" applyBorder="1" applyAlignment="1">
      <alignment horizontal="center"/>
    </xf>
    <xf numFmtId="0" fontId="0" fillId="0" borderId="43" xfId="0" applyBorder="1"/>
    <xf numFmtId="0" fontId="0" fillId="0" borderId="41" xfId="0" applyBorder="1"/>
    <xf numFmtId="0" fontId="47" fillId="0" borderId="19" xfId="0" applyFont="1" applyBorder="1" applyAlignment="1">
      <alignment horizontal="center"/>
    </xf>
    <xf numFmtId="0" fontId="0" fillId="0" borderId="6" xfId="0" applyBorder="1"/>
    <xf numFmtId="0" fontId="0" fillId="0" borderId="7" xfId="0" applyBorder="1"/>
    <xf numFmtId="0" fontId="38" fillId="0" borderId="36" xfId="0" applyFont="1" applyBorder="1" applyAlignment="1">
      <alignment horizontal="left"/>
    </xf>
    <xf numFmtId="0" fontId="0" fillId="0" borderId="5" xfId="0" applyBorder="1"/>
    <xf numFmtId="0" fontId="0" fillId="0" borderId="18" xfId="0" applyBorder="1"/>
    <xf numFmtId="0" fontId="38" fillId="0" borderId="31" xfId="0" applyFont="1" applyBorder="1" applyAlignment="1">
      <alignment horizontal="left"/>
    </xf>
    <xf numFmtId="0" fontId="0" fillId="0" borderId="46" xfId="0" applyBorder="1"/>
    <xf numFmtId="0" fontId="0" fillId="0" borderId="47" xfId="0" applyBorder="1"/>
    <xf numFmtId="0" fontId="41" fillId="0" borderId="1" xfId="0" applyFont="1" applyBorder="1" applyAlignment="1">
      <alignment horizontal="center"/>
    </xf>
    <xf numFmtId="0" fontId="0" fillId="0" borderId="16" xfId="0" applyBorder="1"/>
    <xf numFmtId="0" fontId="0" fillId="0" borderId="17" xfId="0" applyBorder="1"/>
    <xf numFmtId="0" fontId="0" fillId="0" borderId="20" xfId="0" applyBorder="1"/>
    <xf numFmtId="0" fontId="38" fillId="0" borderId="0" xfId="0" applyFont="1"/>
    <xf numFmtId="0" fontId="38" fillId="0" borderId="0" xfId="0" applyFont="1" applyAlignment="1">
      <alignment horizontal="left"/>
    </xf>
    <xf numFmtId="0" fontId="0" fillId="0" borderId="21" xfId="0" applyBorder="1"/>
    <xf numFmtId="0" fontId="0" fillId="0" borderId="48" xfId="0" applyBorder="1"/>
    <xf numFmtId="0" fontId="0" fillId="0" borderId="49" xfId="0" applyBorder="1"/>
    <xf numFmtId="0" fontId="0" fillId="0" borderId="30" xfId="0" applyBorder="1"/>
    <xf numFmtId="0" fontId="42" fillId="0" borderId="1" xfId="0" applyFont="1" applyBorder="1" applyAlignment="1">
      <alignment horizontal="left" wrapText="1"/>
    </xf>
    <xf numFmtId="0" fontId="0" fillId="0" borderId="0" xfId="0"/>
    <xf numFmtId="0" fontId="34" fillId="0" borderId="1" xfId="0" applyFont="1" applyBorder="1" applyAlignment="1">
      <alignment horizontal="left" vertical="center" wrapText="1"/>
    </xf>
    <xf numFmtId="0" fontId="43" fillId="0" borderId="1" xfId="0" applyFont="1" applyBorder="1" applyAlignment="1">
      <alignment horizontal="left" vertical="center" wrapText="1"/>
    </xf>
    <xf numFmtId="0" fontId="34" fillId="0" borderId="11" xfId="0" applyFont="1" applyBorder="1" applyAlignment="1">
      <alignment horizontal="left" vertical="center" wrapText="1"/>
    </xf>
    <xf numFmtId="0" fontId="0" fillId="0" borderId="11" xfId="0" applyBorder="1"/>
    <xf numFmtId="166" fontId="38" fillId="0" borderId="13" xfId="2" applyNumberFormat="1" applyFont="1" applyBorder="1" applyAlignment="1">
      <alignment horizontal="right"/>
    </xf>
    <xf numFmtId="0" fontId="38" fillId="0" borderId="37" xfId="0" applyFont="1" applyBorder="1" applyAlignment="1">
      <alignment horizontal="left"/>
    </xf>
    <xf numFmtId="0" fontId="0" fillId="0" borderId="38" xfId="0" applyBorder="1"/>
    <xf numFmtId="0" fontId="0" fillId="0" borderId="50" xfId="0" applyBorder="1"/>
    <xf numFmtId="0" fontId="38" fillId="0" borderId="45" xfId="0" applyFont="1" applyBorder="1" applyAlignment="1">
      <alignment horizontal="right"/>
    </xf>
    <xf numFmtId="0" fontId="33" fillId="0" borderId="0" xfId="0" applyFont="1" applyAlignment="1">
      <alignment horizontal="center"/>
    </xf>
    <xf numFmtId="0" fontId="41" fillId="0" borderId="44" xfId="0" applyFont="1" applyBorder="1" applyAlignment="1">
      <alignment horizontal="center"/>
    </xf>
    <xf numFmtId="165" fontId="0" fillId="0" borderId="20" xfId="0" applyNumberFormat="1" applyBorder="1" applyAlignment="1">
      <alignment horizontal="center" vertical="center" wrapText="1"/>
    </xf>
    <xf numFmtId="10" fontId="44" fillId="0" borderId="2" xfId="0" applyNumberFormat="1" applyFont="1" applyBorder="1" applyAlignment="1">
      <alignment horizontal="center"/>
    </xf>
    <xf numFmtId="0" fontId="8" fillId="11" borderId="0" xfId="0" applyFont="1" applyFill="1" applyAlignment="1">
      <alignment horizontal="center" vertical="center" wrapText="1"/>
    </xf>
    <xf numFmtId="0" fontId="8" fillId="0" borderId="0" xfId="0" applyFont="1"/>
    <xf numFmtId="0" fontId="2" fillId="12" borderId="1" xfId="0" applyFont="1" applyFill="1" applyBorder="1" applyAlignment="1">
      <alignment horizontal="left" vertical="top" wrapText="1"/>
    </xf>
    <xf numFmtId="0" fontId="60" fillId="0" borderId="0" xfId="0" applyFont="1" applyAlignment="1">
      <alignment horizontal="left"/>
    </xf>
  </cellXfs>
  <cellStyles count="8">
    <cellStyle name="Accent2" xfId="5" builtinId="33"/>
    <cellStyle name="Accent3" xfId="6" builtinId="37"/>
    <cellStyle name="Bad" xfId="4" builtinId="27"/>
    <cellStyle name="Comma" xfId="1" builtinId="3"/>
    <cellStyle name="Currency" xfId="2" builtinId="4"/>
    <cellStyle name="Hyperlink" xfId="7" builtinId="8"/>
    <cellStyle name="Normal" xfId="0" builtinId="0"/>
    <cellStyle name="Percent" xfId="3" builtinId="5"/>
  </cellStyles>
  <dxfs count="1">
    <dxf>
      <border>
        <left/>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10</xdr:col>
      <xdr:colOff>50800</xdr:colOff>
      <xdr:row>24</xdr:row>
      <xdr:rowOff>38100</xdr:rowOff>
    </xdr:from>
    <xdr:to>
      <xdr:col>19</xdr:col>
      <xdr:colOff>393700</xdr:colOff>
      <xdr:row>32</xdr:row>
      <xdr:rowOff>37611</xdr:rowOff>
    </xdr:to>
    <xdr:pic>
      <xdr:nvPicPr>
        <xdr:cNvPr id="5" name="Picture 4">
          <a:extLst>
            <a:ext uri="{FF2B5EF4-FFF2-40B4-BE49-F238E27FC236}">
              <a16:creationId xmlns:a16="http://schemas.microsoft.com/office/drawing/2014/main" id="{34A41374-6A76-3D40-94AD-3ED602473A3E}"/>
            </a:ext>
          </a:extLst>
        </xdr:cNvPr>
        <xdr:cNvPicPr>
          <a:picLocks noChangeAspect="1"/>
        </xdr:cNvPicPr>
      </xdr:nvPicPr>
      <xdr:blipFill>
        <a:blip xmlns:r="http://schemas.openxmlformats.org/officeDocument/2006/relationships" r:embed="rId1"/>
        <a:stretch>
          <a:fillRect/>
        </a:stretch>
      </xdr:blipFill>
      <xdr:spPr>
        <a:xfrm>
          <a:off x="9652000" y="4038600"/>
          <a:ext cx="7772400" cy="1320311"/>
        </a:xfrm>
        <a:prstGeom prst="rect">
          <a:avLst/>
        </a:prstGeom>
      </xdr:spPr>
    </xdr:pic>
    <xdr:clientData/>
  </xdr:twoCellAnchor>
  <xdr:twoCellAnchor editAs="oneCell">
    <xdr:from>
      <xdr:col>10</xdr:col>
      <xdr:colOff>50800</xdr:colOff>
      <xdr:row>14</xdr:row>
      <xdr:rowOff>139700</xdr:rowOff>
    </xdr:from>
    <xdr:to>
      <xdr:col>19</xdr:col>
      <xdr:colOff>393700</xdr:colOff>
      <xdr:row>24</xdr:row>
      <xdr:rowOff>349</xdr:rowOff>
    </xdr:to>
    <xdr:pic>
      <xdr:nvPicPr>
        <xdr:cNvPr id="6" name="Picture 5">
          <a:extLst>
            <a:ext uri="{FF2B5EF4-FFF2-40B4-BE49-F238E27FC236}">
              <a16:creationId xmlns:a16="http://schemas.microsoft.com/office/drawing/2014/main" id="{3E33222D-73EA-DD49-B736-D79BF1F2FB46}"/>
            </a:ext>
          </a:extLst>
        </xdr:cNvPr>
        <xdr:cNvPicPr>
          <a:picLocks noChangeAspect="1"/>
        </xdr:cNvPicPr>
      </xdr:nvPicPr>
      <xdr:blipFill>
        <a:blip xmlns:r="http://schemas.openxmlformats.org/officeDocument/2006/relationships" r:embed="rId2"/>
        <a:stretch>
          <a:fillRect/>
        </a:stretch>
      </xdr:blipFill>
      <xdr:spPr>
        <a:xfrm>
          <a:off x="9652000" y="2489200"/>
          <a:ext cx="7772400" cy="1511649"/>
        </a:xfrm>
        <a:prstGeom prst="rect">
          <a:avLst/>
        </a:prstGeom>
      </xdr:spPr>
    </xdr:pic>
    <xdr:clientData/>
  </xdr:twoCellAnchor>
  <xdr:twoCellAnchor editAs="oneCell">
    <xdr:from>
      <xdr:col>10</xdr:col>
      <xdr:colOff>38100</xdr:colOff>
      <xdr:row>0</xdr:row>
      <xdr:rowOff>190500</xdr:rowOff>
    </xdr:from>
    <xdr:to>
      <xdr:col>19</xdr:col>
      <xdr:colOff>381000</xdr:colOff>
      <xdr:row>14</xdr:row>
      <xdr:rowOff>13795</xdr:rowOff>
    </xdr:to>
    <xdr:pic>
      <xdr:nvPicPr>
        <xdr:cNvPr id="7" name="Picture 6">
          <a:extLst>
            <a:ext uri="{FF2B5EF4-FFF2-40B4-BE49-F238E27FC236}">
              <a16:creationId xmlns:a16="http://schemas.microsoft.com/office/drawing/2014/main" id="{85599407-57AF-1848-9DA3-2E7C8B1CCD8A}"/>
            </a:ext>
          </a:extLst>
        </xdr:cNvPr>
        <xdr:cNvPicPr>
          <a:picLocks noChangeAspect="1"/>
        </xdr:cNvPicPr>
      </xdr:nvPicPr>
      <xdr:blipFill>
        <a:blip xmlns:r="http://schemas.openxmlformats.org/officeDocument/2006/relationships" r:embed="rId3"/>
        <a:stretch>
          <a:fillRect/>
        </a:stretch>
      </xdr:blipFill>
      <xdr:spPr>
        <a:xfrm>
          <a:off x="9639300" y="190500"/>
          <a:ext cx="7772400" cy="2172795"/>
        </a:xfrm>
        <a:prstGeom prst="rect">
          <a:avLst/>
        </a:prstGeom>
      </xdr:spPr>
    </xdr:pic>
    <xdr:clientData/>
  </xdr:twoCellAnchor>
  <xdr:twoCellAnchor editAs="oneCell">
    <xdr:from>
      <xdr:col>10</xdr:col>
      <xdr:colOff>25400</xdr:colOff>
      <xdr:row>32</xdr:row>
      <xdr:rowOff>152400</xdr:rowOff>
    </xdr:from>
    <xdr:to>
      <xdr:col>19</xdr:col>
      <xdr:colOff>368300</xdr:colOff>
      <xdr:row>48</xdr:row>
      <xdr:rowOff>97454</xdr:rowOff>
    </xdr:to>
    <xdr:pic>
      <xdr:nvPicPr>
        <xdr:cNvPr id="8" name="Picture 7">
          <a:extLst>
            <a:ext uri="{FF2B5EF4-FFF2-40B4-BE49-F238E27FC236}">
              <a16:creationId xmlns:a16="http://schemas.microsoft.com/office/drawing/2014/main" id="{611AC06C-7716-E642-9904-5133F681D8C3}"/>
            </a:ext>
          </a:extLst>
        </xdr:cNvPr>
        <xdr:cNvPicPr>
          <a:picLocks noChangeAspect="1"/>
        </xdr:cNvPicPr>
      </xdr:nvPicPr>
      <xdr:blipFill>
        <a:blip xmlns:r="http://schemas.openxmlformats.org/officeDocument/2006/relationships" r:embed="rId4"/>
        <a:stretch>
          <a:fillRect/>
        </a:stretch>
      </xdr:blipFill>
      <xdr:spPr>
        <a:xfrm>
          <a:off x="9626600" y="5473700"/>
          <a:ext cx="7772400" cy="2586654"/>
        </a:xfrm>
        <a:prstGeom prst="rect">
          <a:avLst/>
        </a:prstGeom>
      </xdr:spPr>
    </xdr:pic>
    <xdr:clientData/>
  </xdr:twoCellAnchor>
  <xdr:oneCellAnchor>
    <xdr:from>
      <xdr:col>3</xdr:col>
      <xdr:colOff>812800</xdr:colOff>
      <xdr:row>1</xdr:row>
      <xdr:rowOff>88900</xdr:rowOff>
    </xdr:from>
    <xdr:ext cx="2755899" cy="1125693"/>
    <xdr:sp macro="" textlink="">
      <xdr:nvSpPr>
        <xdr:cNvPr id="9" name="TextBox 8">
          <a:extLst>
            <a:ext uri="{FF2B5EF4-FFF2-40B4-BE49-F238E27FC236}">
              <a16:creationId xmlns:a16="http://schemas.microsoft.com/office/drawing/2014/main" id="{1DD9B54C-5EDC-5B44-BC0D-6571BFA99AE9}"/>
            </a:ext>
          </a:extLst>
        </xdr:cNvPr>
        <xdr:cNvSpPr txBox="1"/>
      </xdr:nvSpPr>
      <xdr:spPr>
        <a:xfrm>
          <a:off x="4635500" y="292100"/>
          <a:ext cx="2755899" cy="1125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b="0" i="0" u="none" strike="noStrike">
              <a:solidFill>
                <a:schemeClr val="tx1"/>
              </a:solidFill>
              <a:effectLst/>
              <a:latin typeface="+mn-lt"/>
              <a:ea typeface="+mn-ea"/>
              <a:cs typeface="+mn-cs"/>
            </a:rPr>
            <a:t>QCT’s current competitors include, but are not limited to, companies such as Broadcom, HiSilicon, MediaTek, Nvidia, NXP Semiconductors, Qorvo, Samsung, Skyworks, Texas Instruments and UNISOC (formally known as Spreadtrum Communications).</a:t>
          </a:r>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11</xdr:col>
      <xdr:colOff>241300</xdr:colOff>
      <xdr:row>19</xdr:row>
      <xdr:rowOff>152400</xdr:rowOff>
    </xdr:from>
    <xdr:to>
      <xdr:col>19</xdr:col>
      <xdr:colOff>469900</xdr:colOff>
      <xdr:row>29</xdr:row>
      <xdr:rowOff>0</xdr:rowOff>
    </xdr:to>
    <xdr:pic>
      <xdr:nvPicPr>
        <xdr:cNvPr id="2" name="Picture 1">
          <a:extLst>
            <a:ext uri="{FF2B5EF4-FFF2-40B4-BE49-F238E27FC236}">
              <a16:creationId xmlns:a16="http://schemas.microsoft.com/office/drawing/2014/main" id="{BC4FEF5A-2800-6945-BFC1-2D8E0E8D8E2A}"/>
            </a:ext>
          </a:extLst>
        </xdr:cNvPr>
        <xdr:cNvPicPr>
          <a:picLocks noChangeAspect="1"/>
        </xdr:cNvPicPr>
      </xdr:nvPicPr>
      <xdr:blipFill>
        <a:blip xmlns:r="http://schemas.openxmlformats.org/officeDocument/2006/relationships" r:embed="rId1"/>
        <a:stretch>
          <a:fillRect/>
        </a:stretch>
      </xdr:blipFill>
      <xdr:spPr>
        <a:xfrm>
          <a:off x="13690600" y="3771900"/>
          <a:ext cx="6832600" cy="1752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mordorintelligence.com/industry-reports/cloud-ai-market" TargetMode="External"/><Relationship Id="rId3" Type="http://schemas.openxmlformats.org/officeDocument/2006/relationships/hyperlink" Target="https://www.globenewswire.com/news-release/2020/10/27/2115307/0/en/Global-Advanced-Driver-Assistance-Systems-ADAS-Market-to-Grow-at-a-CAGR-of-17-During-2020-2025-Expert-Market-Research.html" TargetMode="External"/><Relationship Id="rId7" Type="http://schemas.openxmlformats.org/officeDocument/2006/relationships/hyperlink" Target="https://www.globenewswire.com/news-release/2020/07/24/2067070/0/en/The-Global-Application-Processor-Market-is-expected-to-grow-from-USD-23-316-87-Million-in-2019-to-USD-32-651-86-Million-by-the-end-of-2025-at-a-Compound-Annual-Growth-Rate-CAGR-of-.html" TargetMode="External"/><Relationship Id="rId2" Type="http://schemas.openxmlformats.org/officeDocument/2006/relationships/hyperlink" Target="https://www.grandviewresearch.com/press-release/global-cellular-internet-of-thing-iot-market" TargetMode="External"/><Relationship Id="rId1" Type="http://schemas.openxmlformats.org/officeDocument/2006/relationships/hyperlink" Target="https://www.prnewswire.com/news-releases/the-global-automotive-semiconductor-market-is-expected-to-grow-from-usd-38-863-62-million-in-2019-to-usd-51-286-70-million-by-the-end-of-2025-at-a-compound-annual-growth-rate-cagr-of-4-73-301092110.html" TargetMode="External"/><Relationship Id="rId6" Type="http://schemas.openxmlformats.org/officeDocument/2006/relationships/hyperlink" Target="https://www.globenewswire.com/news-release/2020/02/21/1988733/0/en/The-IoT-chip-market-is-expected-to-register-a-CAGR-of-13-5-during-the-forecast-period-2020.html" TargetMode="External"/><Relationship Id="rId5" Type="http://schemas.openxmlformats.org/officeDocument/2006/relationships/hyperlink" Target="https://www.electronicsweekly.com/news/business/rf-front-end-market-8-cagr-2025-2020-04/" TargetMode="External"/><Relationship Id="rId4" Type="http://schemas.openxmlformats.org/officeDocument/2006/relationships/hyperlink" Target="https://www.prnewswire.com/news-releases/laptop-market-size-worth-108-91-billion-by-2025--cagr-0-4-grand-view-research-inc-300844055.html"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5"/>
  <sheetViews>
    <sheetView zoomScaleNormal="100" workbookViewId="0">
      <selection activeCell="D32" sqref="D32"/>
    </sheetView>
  </sheetViews>
  <sheetFormatPr baseColWidth="10" defaultRowHeight="12"/>
  <cols>
    <col min="1" max="1" width="49.6640625" style="4" customWidth="1"/>
    <col min="2" max="2" width="26.5" style="4" customWidth="1"/>
    <col min="3" max="3" width="17" style="4" customWidth="1"/>
    <col min="4" max="4" width="16.6640625" style="4" customWidth="1"/>
    <col min="5" max="7" width="10.83203125" style="4" customWidth="1"/>
    <col min="8" max="8" width="11" style="4" bestFit="1" customWidth="1"/>
    <col min="9" max="9" width="13.5" style="4" customWidth="1"/>
    <col min="10" max="10" width="15" style="4" bestFit="1" customWidth="1"/>
    <col min="11" max="11" width="17.5" style="4" bestFit="1" customWidth="1"/>
    <col min="12" max="13" width="10.83203125" style="4" customWidth="1"/>
    <col min="14" max="14" width="14.83203125" style="4" customWidth="1"/>
    <col min="15" max="15" width="10.83203125" style="4" customWidth="1"/>
    <col min="16" max="16384" width="10.83203125" style="4"/>
  </cols>
  <sheetData>
    <row r="1" spans="1:16" ht="13" customHeight="1">
      <c r="A1" s="229" t="s">
        <v>0</v>
      </c>
      <c r="B1" s="208">
        <v>42678</v>
      </c>
      <c r="C1" s="209" t="s">
        <v>1</v>
      </c>
      <c r="D1" s="210"/>
      <c r="E1" s="210"/>
      <c r="F1" s="210"/>
      <c r="G1" s="210"/>
      <c r="H1" s="210"/>
      <c r="I1" s="210"/>
      <c r="J1" s="211"/>
      <c r="K1" s="212"/>
      <c r="L1" s="212"/>
      <c r="M1" s="212"/>
      <c r="N1" s="212"/>
      <c r="O1" s="212"/>
      <c r="P1" s="212"/>
    </row>
    <row r="2" spans="1:16" s="37" customFormat="1" ht="14" customHeight="1" thickBot="1">
      <c r="A2" s="229" t="s">
        <v>2</v>
      </c>
      <c r="B2" s="213" t="s">
        <v>3</v>
      </c>
      <c r="C2" s="214" t="s">
        <v>4</v>
      </c>
      <c r="D2" s="251"/>
      <c r="E2" s="251"/>
      <c r="F2" s="251"/>
      <c r="G2" s="251"/>
      <c r="H2" s="251"/>
      <c r="I2" s="251"/>
      <c r="J2" s="215"/>
      <c r="K2" s="251"/>
      <c r="L2" s="251"/>
      <c r="M2" s="251"/>
      <c r="N2" s="251"/>
      <c r="O2" s="251"/>
      <c r="P2" s="251"/>
    </row>
    <row r="3" spans="1:16" s="37" customFormat="1" ht="14" customHeight="1" thickBot="1">
      <c r="A3" s="354" t="s">
        <v>5</v>
      </c>
      <c r="B3" s="355"/>
      <c r="C3" s="355"/>
      <c r="D3" s="355"/>
      <c r="E3" s="355"/>
      <c r="F3" s="355"/>
      <c r="G3" s="355"/>
      <c r="H3" s="355"/>
      <c r="I3" s="355"/>
      <c r="J3" s="356"/>
      <c r="K3" s="251"/>
      <c r="L3" s="251"/>
      <c r="M3" s="251"/>
      <c r="N3" s="251"/>
      <c r="O3" s="251"/>
      <c r="P3" s="251"/>
    </row>
    <row r="4" spans="1:16" s="37" customFormat="1" ht="13" customHeight="1">
      <c r="A4" s="229"/>
      <c r="B4" s="229" t="s">
        <v>6</v>
      </c>
      <c r="C4" s="229" t="s">
        <v>7</v>
      </c>
      <c r="D4" s="251"/>
      <c r="E4" s="251"/>
      <c r="F4" s="251"/>
      <c r="G4" s="251"/>
      <c r="H4" s="251"/>
      <c r="I4" s="251"/>
      <c r="J4" s="251"/>
      <c r="K4" s="251"/>
      <c r="L4" s="251"/>
      <c r="M4" s="251"/>
      <c r="N4" s="251"/>
      <c r="O4" s="251"/>
      <c r="P4" s="251"/>
    </row>
    <row r="5" spans="1:16" s="37" customFormat="1" ht="13" customHeight="1">
      <c r="A5" s="251" t="s">
        <v>8</v>
      </c>
      <c r="B5" s="217" t="s">
        <v>9</v>
      </c>
      <c r="C5" s="229"/>
      <c r="D5" s="251"/>
      <c r="E5" s="251"/>
      <c r="F5" s="251"/>
      <c r="G5" s="251"/>
      <c r="H5" s="251"/>
      <c r="I5" s="251"/>
      <c r="J5" s="251"/>
      <c r="K5" s="251"/>
      <c r="L5" s="251"/>
      <c r="M5" s="251"/>
      <c r="N5" s="251"/>
      <c r="O5" s="251"/>
      <c r="P5" s="251"/>
    </row>
    <row r="6" spans="1:16" s="37" customFormat="1" ht="13" customHeight="1">
      <c r="A6" s="251" t="s">
        <v>10</v>
      </c>
      <c r="B6" s="217" t="s">
        <v>734</v>
      </c>
      <c r="C6" s="251"/>
      <c r="D6" s="251"/>
      <c r="E6" s="251"/>
      <c r="F6" s="251"/>
      <c r="G6" s="251"/>
      <c r="H6" s="251"/>
      <c r="I6" s="251"/>
      <c r="J6" s="251"/>
      <c r="K6" s="251"/>
      <c r="L6" s="251"/>
      <c r="M6" s="251"/>
      <c r="N6" s="251"/>
      <c r="O6" s="251"/>
      <c r="P6" s="251"/>
    </row>
    <row r="7" spans="1:16" s="37" customFormat="1" ht="13" customHeight="1">
      <c r="A7" s="251" t="s">
        <v>12</v>
      </c>
      <c r="B7" s="217" t="s">
        <v>734</v>
      </c>
      <c r="C7" s="216" t="s">
        <v>13</v>
      </c>
      <c r="D7" s="216" t="s">
        <v>14</v>
      </c>
      <c r="E7" s="251"/>
      <c r="F7" s="251"/>
      <c r="G7" s="251"/>
      <c r="H7" s="251"/>
      <c r="I7" s="251"/>
      <c r="J7" s="251"/>
      <c r="K7" s="251"/>
      <c r="L7" s="251"/>
      <c r="M7" s="251"/>
      <c r="N7" s="251"/>
      <c r="O7" s="251"/>
      <c r="P7" s="251"/>
    </row>
    <row r="8" spans="1:16" s="37" customFormat="1" ht="13" customHeight="1">
      <c r="A8" s="219" t="s">
        <v>15</v>
      </c>
      <c r="B8" s="269">
        <v>23531</v>
      </c>
      <c r="C8" s="269">
        <v>24273</v>
      </c>
      <c r="D8" s="217">
        <v>1</v>
      </c>
      <c r="E8" s="251"/>
      <c r="F8" s="251"/>
      <c r="G8" s="251"/>
      <c r="H8" s="251"/>
      <c r="I8" s="251"/>
      <c r="J8" s="251"/>
      <c r="K8" s="251"/>
      <c r="L8" s="251"/>
      <c r="M8" s="251"/>
      <c r="N8" s="251"/>
      <c r="O8" s="251"/>
      <c r="P8" s="251"/>
    </row>
    <row r="9" spans="1:16" s="37" customFormat="1" ht="13" customHeight="1">
      <c r="A9" s="219" t="s">
        <v>16</v>
      </c>
      <c r="B9" s="269">
        <v>6255</v>
      </c>
      <c r="C9" s="269">
        <v>8081</v>
      </c>
      <c r="D9" s="217">
        <v>1</v>
      </c>
      <c r="E9" s="251"/>
      <c r="F9" s="251"/>
      <c r="G9" s="251"/>
      <c r="H9" s="251"/>
      <c r="I9" s="251"/>
      <c r="J9" s="251"/>
      <c r="K9" s="251"/>
      <c r="L9" s="251"/>
      <c r="M9" s="251"/>
      <c r="N9" s="251"/>
      <c r="O9" s="251"/>
      <c r="P9" s="251"/>
    </row>
    <row r="10" spans="1:16" s="37" customFormat="1" ht="13" customHeight="1">
      <c r="A10" s="219" t="s">
        <v>17</v>
      </c>
      <c r="B10" s="269">
        <v>602</v>
      </c>
      <c r="C10" s="269">
        <v>627</v>
      </c>
      <c r="D10" s="218"/>
      <c r="E10" s="251"/>
      <c r="F10" s="251"/>
      <c r="G10" s="251"/>
      <c r="H10" s="251"/>
      <c r="I10" s="251"/>
      <c r="J10" s="251"/>
      <c r="K10" s="251"/>
      <c r="L10" s="251"/>
      <c r="M10" s="251"/>
      <c r="N10" s="251"/>
      <c r="O10" s="251"/>
      <c r="P10" s="251"/>
    </row>
    <row r="11" spans="1:16" s="37" customFormat="1" ht="13" customHeight="1">
      <c r="A11" s="219" t="s">
        <v>18</v>
      </c>
      <c r="B11" s="269">
        <v>6077</v>
      </c>
      <c r="C11" s="269">
        <v>4909</v>
      </c>
      <c r="D11" s="218"/>
      <c r="E11" s="251"/>
      <c r="F11" s="251"/>
      <c r="G11" s="251"/>
      <c r="H11" s="251"/>
      <c r="I11" s="251"/>
      <c r="J11" s="251"/>
      <c r="K11" s="251"/>
      <c r="L11" s="251"/>
      <c r="M11" s="251"/>
      <c r="N11" s="251"/>
      <c r="O11" s="251"/>
      <c r="P11" s="251"/>
    </row>
    <row r="12" spans="1:16" s="37" customFormat="1" ht="13" customHeight="1">
      <c r="A12" s="219" t="s">
        <v>19</v>
      </c>
      <c r="B12" s="269">
        <v>15726</v>
      </c>
      <c r="C12" s="269">
        <v>15961</v>
      </c>
      <c r="D12" s="218"/>
      <c r="E12" s="251"/>
      <c r="F12" s="251"/>
      <c r="G12" s="251"/>
      <c r="H12" s="251"/>
      <c r="I12" s="251"/>
      <c r="J12" s="251"/>
      <c r="K12" s="251"/>
      <c r="L12" s="251"/>
      <c r="M12" s="251"/>
      <c r="N12" s="251"/>
      <c r="O12" s="251"/>
      <c r="P12" s="251"/>
    </row>
    <row r="13" spans="1:16" s="37" customFormat="1" ht="13" customHeight="1">
      <c r="A13" s="219" t="s">
        <v>20</v>
      </c>
      <c r="B13" s="270" t="s">
        <v>48</v>
      </c>
      <c r="C13" s="271" t="s">
        <v>22</v>
      </c>
      <c r="D13" s="218"/>
      <c r="E13" s="251"/>
      <c r="F13" s="251"/>
      <c r="G13" s="251"/>
      <c r="H13" s="251"/>
      <c r="I13" s="251"/>
      <c r="J13" s="251"/>
      <c r="K13" s="251"/>
      <c r="L13" s="251"/>
      <c r="M13" s="251"/>
      <c r="N13" s="251"/>
      <c r="O13" s="251"/>
      <c r="P13" s="251"/>
    </row>
    <row r="14" spans="1:16" s="37" customFormat="1" ht="13" customHeight="1">
      <c r="A14" s="219" t="s">
        <v>23</v>
      </c>
      <c r="B14" s="269" t="s">
        <v>21</v>
      </c>
      <c r="C14" s="218" t="s">
        <v>24</v>
      </c>
      <c r="D14" s="218"/>
      <c r="E14" s="251"/>
      <c r="F14" s="251"/>
      <c r="G14" s="251"/>
      <c r="H14" s="251"/>
      <c r="I14" s="251"/>
      <c r="J14" s="251"/>
      <c r="K14" s="251"/>
      <c r="L14" s="251"/>
      <c r="M14" s="251"/>
      <c r="N14" s="251"/>
      <c r="O14" s="251"/>
      <c r="P14" s="251"/>
    </row>
    <row r="15" spans="1:16" s="37" customFormat="1" ht="13" customHeight="1">
      <c r="A15" s="219" t="s">
        <v>25</v>
      </c>
      <c r="B15" s="269">
        <v>11214</v>
      </c>
      <c r="C15" s="269">
        <v>12260</v>
      </c>
      <c r="D15" s="218"/>
      <c r="E15" s="251"/>
      <c r="F15" s="251"/>
      <c r="G15" s="251"/>
      <c r="H15" s="251"/>
      <c r="I15" s="251"/>
      <c r="J15" s="251"/>
      <c r="K15" s="251"/>
      <c r="L15" s="251"/>
      <c r="M15" s="251"/>
      <c r="N15" s="251"/>
      <c r="O15" s="251"/>
      <c r="P15" s="251"/>
    </row>
    <row r="16" spans="1:16" s="37" customFormat="1" ht="13" customHeight="1">
      <c r="A16" s="219" t="s">
        <v>26</v>
      </c>
      <c r="B16" s="272">
        <v>0</v>
      </c>
      <c r="C16" s="269">
        <v>0</v>
      </c>
      <c r="D16" s="218"/>
      <c r="E16" s="251"/>
      <c r="F16" s="251"/>
      <c r="G16" s="251"/>
      <c r="H16" s="251"/>
      <c r="I16" s="251"/>
      <c r="J16" s="251"/>
      <c r="K16" s="251"/>
      <c r="L16" s="251"/>
      <c r="M16" s="251"/>
      <c r="N16" s="251"/>
      <c r="O16" s="251"/>
      <c r="P16" s="251"/>
    </row>
    <row r="17" spans="1:16" s="37" customFormat="1" ht="13" customHeight="1">
      <c r="A17" s="219" t="s">
        <v>27</v>
      </c>
      <c r="B17" s="272">
        <v>0</v>
      </c>
      <c r="C17" s="269">
        <v>0</v>
      </c>
      <c r="D17" s="218"/>
      <c r="E17" s="251"/>
      <c r="F17" s="251"/>
      <c r="G17" s="251"/>
      <c r="H17" s="251"/>
      <c r="I17" s="251"/>
      <c r="J17" s="251"/>
      <c r="K17" s="251"/>
      <c r="L17" s="251"/>
      <c r="M17" s="251"/>
      <c r="N17" s="251"/>
      <c r="O17" s="251"/>
      <c r="P17" s="251"/>
    </row>
    <row r="18" spans="1:16" s="37" customFormat="1" ht="14" customHeight="1" thickBot="1">
      <c r="A18" s="219" t="s">
        <v>28</v>
      </c>
      <c r="B18" s="220">
        <v>1128.27</v>
      </c>
      <c r="C18" s="218"/>
      <c r="D18" s="251"/>
      <c r="E18" s="251"/>
      <c r="F18" s="251"/>
      <c r="G18" s="251"/>
      <c r="H18" s="251"/>
      <c r="I18" s="251"/>
      <c r="J18" s="251"/>
      <c r="K18" s="251"/>
      <c r="L18" s="251"/>
      <c r="M18" s="251"/>
      <c r="N18" s="251"/>
      <c r="O18" s="251"/>
      <c r="P18" s="251"/>
    </row>
    <row r="19" spans="1:16" s="37" customFormat="1" ht="13" customHeight="1">
      <c r="A19" s="219" t="s">
        <v>29</v>
      </c>
      <c r="B19" s="269">
        <v>145.97999999999999</v>
      </c>
      <c r="C19" s="218"/>
      <c r="D19" s="251"/>
      <c r="E19" s="221" t="s">
        <v>30</v>
      </c>
      <c r="F19" s="222"/>
      <c r="G19" s="222"/>
      <c r="H19" s="222"/>
      <c r="I19" s="222"/>
      <c r="J19" s="222"/>
      <c r="K19" s="223"/>
      <c r="L19" s="251"/>
      <c r="M19" s="251" t="s">
        <v>31</v>
      </c>
      <c r="N19" s="251"/>
      <c r="O19" s="251"/>
      <c r="P19" s="251"/>
    </row>
    <row r="20" spans="1:16" s="37" customFormat="1" ht="13" customHeight="1">
      <c r="A20" s="251" t="s">
        <v>32</v>
      </c>
      <c r="B20" s="224">
        <v>9.1099842629830396E-2</v>
      </c>
      <c r="C20" s="218"/>
      <c r="D20" s="251"/>
      <c r="E20" s="225" t="s">
        <v>33</v>
      </c>
      <c r="F20" s="251"/>
      <c r="G20" s="251"/>
      <c r="H20" s="251"/>
      <c r="I20" s="251"/>
      <c r="J20" s="251"/>
      <c r="K20" s="226"/>
      <c r="L20" s="251"/>
      <c r="M20" s="227" t="s">
        <v>34</v>
      </c>
      <c r="N20" s="251">
        <v>1.2</v>
      </c>
      <c r="O20" s="251"/>
      <c r="P20" s="251"/>
    </row>
    <row r="21" spans="1:16" s="37" customFormat="1" ht="13" customHeight="1">
      <c r="A21" s="251" t="s">
        <v>35</v>
      </c>
      <c r="B21" s="224">
        <v>0.25</v>
      </c>
      <c r="C21" s="218"/>
      <c r="D21" s="251"/>
      <c r="E21" s="228"/>
      <c r="F21" s="251"/>
      <c r="G21" s="251"/>
      <c r="H21" s="251"/>
      <c r="I21" s="219" t="s">
        <v>36</v>
      </c>
      <c r="J21" s="219" t="s">
        <v>37</v>
      </c>
      <c r="K21" s="226" t="s">
        <v>38</v>
      </c>
      <c r="L21" s="251"/>
      <c r="M21" s="227" t="s">
        <v>39</v>
      </c>
      <c r="N21" s="240">
        <f>'Cost of capital worksheet'!K18</f>
        <v>6.5761047649958104E-2</v>
      </c>
      <c r="O21" s="251"/>
      <c r="P21" s="251"/>
    </row>
    <row r="22" spans="1:16" s="37" customFormat="1" ht="13" customHeight="1">
      <c r="A22" s="229" t="s">
        <v>40</v>
      </c>
      <c r="B22" s="273"/>
      <c r="C22" s="218"/>
      <c r="D22" s="251"/>
      <c r="E22" s="241" t="s">
        <v>41</v>
      </c>
      <c r="F22" s="251"/>
      <c r="G22" s="251"/>
      <c r="H22" s="251"/>
      <c r="I22" s="230">
        <f>IF(C8&gt;0,(B8/C8)^(1/D8)-1, "NA")</f>
        <v>-3.056894491822193E-2</v>
      </c>
      <c r="J22" s="230">
        <f>VLOOKUP(B6,'Industry Average Beta (US)'!A2:S95,3)</f>
        <v>8.3476603770000005E-2</v>
      </c>
      <c r="K22" s="231">
        <f>VLOOKUP(B7,'Industry Average Beta (Global)'!A2:N95,3)</f>
        <v>4.3406957547169833E-2</v>
      </c>
      <c r="L22" s="251"/>
      <c r="M22" s="227" t="s">
        <v>42</v>
      </c>
      <c r="N22" s="240">
        <f>B30+(N20*N21)</f>
        <v>8.6913257179949716E-2</v>
      </c>
      <c r="O22" s="251"/>
      <c r="P22" s="251"/>
    </row>
    <row r="23" spans="1:16" s="37" customFormat="1" ht="13" customHeight="1">
      <c r="A23" s="219" t="s">
        <v>43</v>
      </c>
      <c r="B23" s="232">
        <v>7.0000000000000007E-2</v>
      </c>
      <c r="C23" s="218" t="s">
        <v>44</v>
      </c>
      <c r="D23" s="251"/>
      <c r="E23" s="241" t="s">
        <v>45</v>
      </c>
      <c r="F23" s="251"/>
      <c r="G23" s="251"/>
      <c r="H23" s="251"/>
      <c r="I23" s="230">
        <f>'Valuation output'!B5</f>
        <v>0.28631734024620009</v>
      </c>
      <c r="J23" s="231">
        <f>VLOOKUP(B6,'Industry Average Beta (US)'!A2:S95,4)</f>
        <v>0.24617957465863771</v>
      </c>
      <c r="K23" s="231">
        <f>VLOOKUP(B7,'Industry Average Beta (Global)'!A2:N95,4)</f>
        <v>0.18187629290875901</v>
      </c>
      <c r="L23" s="251"/>
      <c r="M23" s="227" t="s">
        <v>46</v>
      </c>
      <c r="N23" s="240">
        <f>B10/B12</f>
        <v>3.8280554495739541E-2</v>
      </c>
      <c r="O23" s="251"/>
      <c r="P23" s="251"/>
    </row>
    <row r="24" spans="1:16" s="37" customFormat="1" ht="13" customHeight="1">
      <c r="A24" s="219" t="s">
        <v>47</v>
      </c>
      <c r="B24" s="232" t="s">
        <v>48</v>
      </c>
      <c r="C24" s="218" t="s">
        <v>49</v>
      </c>
      <c r="D24" s="251"/>
      <c r="E24" s="241" t="s">
        <v>50</v>
      </c>
      <c r="F24" s="251"/>
      <c r="G24" s="251"/>
      <c r="H24" s="251"/>
      <c r="I24" s="233">
        <f>B8/(B11+B12-B15)</f>
        <v>2.2222117291528947</v>
      </c>
      <c r="J24" s="233">
        <f>VLOOKUP(B6,'Industry Average Beta (US)'!A2:S95,14)</f>
        <v>0.71283249571375162</v>
      </c>
      <c r="K24" s="233">
        <f>VLOOKUP(B7,'Industry Average Beta (Global)'!A2:N95,14)</f>
        <v>0.73614351686608093</v>
      </c>
      <c r="L24" s="251"/>
      <c r="M24" s="227"/>
      <c r="N24" s="240"/>
      <c r="O24" s="251"/>
      <c r="P24" s="251"/>
    </row>
    <row r="25" spans="1:16" s="37" customFormat="1" ht="13" customHeight="1">
      <c r="A25" s="219" t="s">
        <v>51</v>
      </c>
      <c r="B25" s="232">
        <v>0.05</v>
      </c>
      <c r="C25" s="218"/>
      <c r="D25" s="251"/>
      <c r="E25" s="241" t="s">
        <v>52</v>
      </c>
      <c r="F25" s="251"/>
      <c r="G25" s="251"/>
      <c r="H25" s="251"/>
      <c r="I25" s="231">
        <f>'Valuation output'!B8/'Valuation output'!B43</f>
        <v>0.27786804381537478</v>
      </c>
      <c r="J25" s="231">
        <f>VLOOKUP(B6,'Industry Average Beta (US)'!A2:S95,5)</f>
        <v>0.17003312768423531</v>
      </c>
      <c r="K25" s="231">
        <f>VLOOKUP(B7,'Industry Average Beta (Global)'!A2:N95,5)</f>
        <v>0.1260648970443346</v>
      </c>
      <c r="L25" s="251"/>
      <c r="M25" s="227" t="s">
        <v>53</v>
      </c>
      <c r="N25" s="274">
        <f>B18*B19</f>
        <v>164704.85459999999</v>
      </c>
      <c r="O25" s="251"/>
      <c r="P25" s="251"/>
    </row>
    <row r="26" spans="1:16" s="37" customFormat="1" ht="13" customHeight="1">
      <c r="A26" s="219" t="s">
        <v>54</v>
      </c>
      <c r="B26" s="232">
        <v>0.35</v>
      </c>
      <c r="C26" s="218" t="s">
        <v>55</v>
      </c>
      <c r="D26" s="251"/>
      <c r="E26" s="241" t="s">
        <v>56</v>
      </c>
      <c r="F26" s="251"/>
      <c r="G26" s="251"/>
      <c r="H26" s="251"/>
      <c r="I26" s="234"/>
      <c r="J26" s="235">
        <f>VLOOKUP(B6,'Industry Average Beta (US)'!A2:S95,10)</f>
        <v>0.43694603399999998</v>
      </c>
      <c r="K26" s="231">
        <f>VLOOKUP(B6,'Industry Average Beta (Global)'!A2:Z95,10)</f>
        <v>0.38894935732145991</v>
      </c>
      <c r="L26" s="251"/>
      <c r="M26" s="227" t="s">
        <v>57</v>
      </c>
      <c r="N26" s="240">
        <f>N25/(N25+B12)</f>
        <v>0.91284195801841528</v>
      </c>
      <c r="O26" s="251"/>
      <c r="P26" s="251"/>
    </row>
    <row r="27" spans="1:16" s="37" customFormat="1" ht="14" customHeight="1" thickBot="1">
      <c r="A27" s="219" t="s">
        <v>58</v>
      </c>
      <c r="B27" s="236">
        <v>10</v>
      </c>
      <c r="C27" s="218" t="s">
        <v>59</v>
      </c>
      <c r="D27" s="251"/>
      <c r="E27" s="237" t="s">
        <v>60</v>
      </c>
      <c r="F27" s="238"/>
      <c r="G27" s="238"/>
      <c r="H27" s="238"/>
      <c r="I27" s="238"/>
      <c r="J27" s="239">
        <f>VLOOKUP(B6,'Industry Average Beta (US)'!A2:S95,13)</f>
        <v>7.9920427030175392E-2</v>
      </c>
      <c r="K27" s="231">
        <f>VLOOKUP(B6,'Industry Average Beta (Global)'!A2:Z95,13)</f>
        <v>0.1069473828500129</v>
      </c>
      <c r="L27" s="251"/>
      <c r="M27" s="227" t="s">
        <v>61</v>
      </c>
      <c r="N27" s="240">
        <f>B12/(B12+N25)</f>
        <v>8.715804198158468E-2</v>
      </c>
      <c r="O27" s="251"/>
      <c r="P27" s="251"/>
    </row>
    <row r="28" spans="1:16" s="37" customFormat="1" ht="14" customHeight="1" thickBot="1">
      <c r="A28" s="219" t="s">
        <v>62</v>
      </c>
      <c r="B28" s="236">
        <v>2</v>
      </c>
      <c r="C28" s="218" t="s">
        <v>63</v>
      </c>
      <c r="D28" s="251"/>
      <c r="E28" s="251"/>
      <c r="F28" s="251"/>
      <c r="G28" s="251"/>
      <c r="H28" s="251"/>
      <c r="I28" s="251"/>
      <c r="J28" s="251"/>
      <c r="K28" s="251"/>
      <c r="L28" s="251"/>
      <c r="M28" s="251"/>
      <c r="N28" s="251"/>
      <c r="O28" s="251"/>
      <c r="P28" s="251"/>
    </row>
    <row r="29" spans="1:16" s="37" customFormat="1" ht="13" customHeight="1">
      <c r="A29" s="229" t="s">
        <v>64</v>
      </c>
      <c r="B29" s="240"/>
      <c r="C29" s="331">
        <f>B8/'Valuation output'!B43</f>
        <v>1.0677627698032157</v>
      </c>
      <c r="D29" s="251"/>
      <c r="E29" s="357" t="s">
        <v>65</v>
      </c>
      <c r="F29" s="358"/>
      <c r="G29" s="358"/>
      <c r="H29" s="358"/>
      <c r="I29" s="358"/>
      <c r="J29" s="359"/>
      <c r="K29" s="251"/>
      <c r="L29" s="251"/>
      <c r="M29" s="227" t="s">
        <v>66</v>
      </c>
      <c r="N29" s="240">
        <f>(N26*N22)+(N27*N23*(1-B20))</f>
        <v>8.2370575222963371E-2</v>
      </c>
      <c r="O29" s="251"/>
      <c r="P29" s="251"/>
    </row>
    <row r="30" spans="1:16" s="37" customFormat="1" ht="13" customHeight="1">
      <c r="A30" s="219" t="s">
        <v>67</v>
      </c>
      <c r="B30" s="232">
        <v>8.0000000000000002E-3</v>
      </c>
      <c r="C30" s="218" t="s">
        <v>771</v>
      </c>
      <c r="D30" s="333"/>
      <c r="E30" s="241" t="s">
        <v>68</v>
      </c>
      <c r="F30" s="251"/>
      <c r="G30" s="251"/>
      <c r="H30" s="251"/>
      <c r="I30" s="251"/>
      <c r="J30" s="242">
        <f>'Valuation output'!M4</f>
        <v>57866.437081011725</v>
      </c>
      <c r="K30" s="251"/>
      <c r="L30" s="251"/>
      <c r="O30" s="251"/>
      <c r="P30" s="251"/>
    </row>
    <row r="31" spans="1:16" s="37" customFormat="1" ht="13" customHeight="1">
      <c r="A31" s="219" t="s">
        <v>69</v>
      </c>
      <c r="B31" s="232">
        <f>N29</f>
        <v>8.2370575222963371E-2</v>
      </c>
      <c r="C31" s="218"/>
      <c r="D31" s="251"/>
      <c r="E31" s="241" t="s">
        <v>70</v>
      </c>
      <c r="F31" s="251"/>
      <c r="G31" s="251"/>
      <c r="H31" s="251"/>
      <c r="I31" s="251"/>
      <c r="J31" s="242">
        <f>'Valuation output'!M6</f>
        <v>20253.252978354103</v>
      </c>
      <c r="K31" s="251"/>
      <c r="L31" s="251"/>
      <c r="O31" s="251"/>
      <c r="P31" s="251"/>
    </row>
    <row r="32" spans="1:16" s="37" customFormat="1" ht="13" customHeight="1">
      <c r="A32" s="229" t="s">
        <v>71</v>
      </c>
      <c r="B32" s="243"/>
      <c r="C32" s="243"/>
      <c r="D32" s="218"/>
      <c r="E32" s="241" t="s">
        <v>72</v>
      </c>
      <c r="F32" s="251"/>
      <c r="G32" s="251"/>
      <c r="H32" s="251"/>
      <c r="I32" s="251"/>
      <c r="J32" s="230">
        <f>'Valuation output'!L44</f>
        <v>0.38592848477464281</v>
      </c>
      <c r="K32" s="251"/>
      <c r="L32" s="251"/>
      <c r="M32" s="251"/>
      <c r="N32" s="251"/>
      <c r="O32" s="251"/>
      <c r="P32" s="251"/>
    </row>
    <row r="33" spans="1:16" s="37" customFormat="1" ht="14" customHeight="1" thickBot="1">
      <c r="A33" s="251" t="s">
        <v>73</v>
      </c>
      <c r="B33" s="232" t="s">
        <v>21</v>
      </c>
      <c r="C33" s="212"/>
      <c r="D33" s="218"/>
      <c r="E33" s="244" t="s">
        <v>74</v>
      </c>
      <c r="F33" s="238"/>
      <c r="G33" s="238"/>
      <c r="H33" s="238"/>
      <c r="I33" s="238"/>
      <c r="J33" s="245"/>
      <c r="K33" s="251"/>
      <c r="L33" s="251"/>
      <c r="M33" s="251"/>
      <c r="N33" s="251"/>
      <c r="O33" s="251"/>
      <c r="P33" s="251"/>
    </row>
    <row r="34" spans="1:16" s="37" customFormat="1" ht="13" customHeight="1">
      <c r="A34" s="251" t="s">
        <v>75</v>
      </c>
      <c r="B34" s="236">
        <v>1000</v>
      </c>
      <c r="C34" s="246"/>
      <c r="D34" s="218"/>
      <c r="E34" s="251"/>
      <c r="F34" s="251"/>
      <c r="G34" s="251"/>
      <c r="H34" s="251"/>
      <c r="I34" s="251"/>
      <c r="J34" s="251"/>
      <c r="K34" s="251"/>
      <c r="L34" s="251"/>
      <c r="M34" s="251"/>
      <c r="N34" s="251"/>
      <c r="O34" s="251"/>
      <c r="P34" s="251"/>
    </row>
    <row r="35" spans="1:16" s="37" customFormat="1" ht="13" customHeight="1">
      <c r="A35" s="251" t="s">
        <v>76</v>
      </c>
      <c r="B35" s="275">
        <v>50</v>
      </c>
      <c r="C35" s="276"/>
      <c r="D35" s="218"/>
      <c r="E35" s="251"/>
      <c r="F35" s="251"/>
      <c r="G35" s="251"/>
      <c r="H35" s="251"/>
      <c r="I35" s="251"/>
      <c r="J35" s="251"/>
      <c r="K35" s="251"/>
      <c r="L35" s="251"/>
      <c r="M35" s="251"/>
      <c r="N35" s="251"/>
      <c r="O35" s="251"/>
      <c r="P35" s="251"/>
    </row>
    <row r="36" spans="1:16" s="37" customFormat="1" ht="13" customHeight="1">
      <c r="A36" s="251" t="s">
        <v>77</v>
      </c>
      <c r="B36" s="236">
        <v>2.95</v>
      </c>
      <c r="C36" s="246"/>
      <c r="D36" s="218"/>
      <c r="E36" s="251"/>
      <c r="F36" s="251"/>
      <c r="G36" s="251"/>
      <c r="H36" s="251"/>
      <c r="I36" s="251"/>
      <c r="J36" s="251"/>
      <c r="K36" s="251"/>
      <c r="L36" s="251"/>
      <c r="M36" s="251"/>
      <c r="N36" s="251"/>
      <c r="O36" s="251"/>
      <c r="P36" s="251"/>
    </row>
    <row r="37" spans="1:16" s="37" customFormat="1" ht="13" customHeight="1">
      <c r="A37" s="251" t="s">
        <v>78</v>
      </c>
      <c r="B37" s="232">
        <v>0.39500000000000002</v>
      </c>
      <c r="C37" s="218"/>
      <c r="D37" s="251"/>
      <c r="E37" s="249"/>
      <c r="F37" s="249"/>
      <c r="G37" s="249"/>
      <c r="H37" s="251"/>
      <c r="I37" s="251"/>
      <c r="J37" s="251"/>
      <c r="K37" s="251"/>
      <c r="L37" s="251"/>
      <c r="M37" s="251"/>
      <c r="N37" s="251"/>
      <c r="O37" s="251"/>
      <c r="P37" s="251"/>
    </row>
    <row r="38" spans="1:16" s="37" customFormat="1" ht="13" customHeight="1">
      <c r="A38" s="251"/>
      <c r="B38" s="247"/>
      <c r="C38" s="243"/>
      <c r="D38" s="218"/>
      <c r="E38" s="251"/>
      <c r="F38" s="251"/>
      <c r="G38" s="251"/>
      <c r="H38" s="251"/>
      <c r="I38" s="251"/>
      <c r="J38" s="251"/>
      <c r="K38" s="251"/>
      <c r="L38" s="251"/>
      <c r="M38" s="251"/>
      <c r="N38" s="251"/>
      <c r="O38" s="251"/>
      <c r="P38" s="251"/>
    </row>
    <row r="39" spans="1:16" s="125" customFormat="1" ht="13" customHeight="1">
      <c r="A39" s="352" t="s">
        <v>79</v>
      </c>
      <c r="B39" s="353"/>
      <c r="C39" s="248"/>
      <c r="D39" s="218"/>
      <c r="E39" s="251"/>
      <c r="F39" s="251"/>
      <c r="G39" s="251"/>
      <c r="H39" s="251"/>
      <c r="I39" s="251"/>
      <c r="J39" s="251"/>
      <c r="K39" s="251"/>
      <c r="L39" s="251"/>
      <c r="M39" s="251"/>
      <c r="N39" s="251"/>
      <c r="O39" s="249"/>
      <c r="P39" s="249"/>
    </row>
    <row r="40" spans="1:16" s="37" customFormat="1" ht="13" customHeight="1">
      <c r="A40" s="249" t="s">
        <v>80</v>
      </c>
      <c r="B40" s="249"/>
      <c r="C40" s="250"/>
      <c r="D40" s="218"/>
      <c r="E40" s="249"/>
      <c r="F40" s="249"/>
      <c r="G40" s="249"/>
      <c r="H40" s="249"/>
      <c r="I40" s="249"/>
      <c r="J40" s="249"/>
      <c r="K40" s="249"/>
      <c r="L40" s="251"/>
      <c r="M40" s="251"/>
      <c r="N40" s="251"/>
      <c r="O40" s="251"/>
      <c r="P40" s="251"/>
    </row>
    <row r="41" spans="1:16" s="37" customFormat="1" ht="13" customHeight="1">
      <c r="A41" s="251" t="s">
        <v>81</v>
      </c>
      <c r="B41" s="252" t="s">
        <v>48</v>
      </c>
      <c r="C41" s="218" t="s">
        <v>82</v>
      </c>
      <c r="D41" s="251"/>
      <c r="E41" s="251"/>
      <c r="F41" s="251"/>
      <c r="G41" s="251"/>
      <c r="H41" s="251"/>
      <c r="I41" s="251"/>
      <c r="J41" s="251"/>
      <c r="K41" s="251"/>
      <c r="L41" s="251"/>
      <c r="M41" s="251"/>
      <c r="N41" s="249"/>
      <c r="O41" s="251"/>
      <c r="P41" s="251"/>
    </row>
    <row r="42" spans="1:16" s="125" customFormat="1" ht="13" customHeight="1">
      <c r="A42" s="251" t="s">
        <v>83</v>
      </c>
      <c r="B42" s="253">
        <v>6.5000000000000002E-2</v>
      </c>
      <c r="C42" s="218" t="s">
        <v>84</v>
      </c>
      <c r="D42" s="251"/>
      <c r="E42" s="251"/>
      <c r="F42" s="251"/>
      <c r="G42" s="251"/>
      <c r="H42" s="251"/>
      <c r="I42" s="251"/>
      <c r="J42" s="251"/>
      <c r="K42" s="251"/>
      <c r="L42" s="249"/>
      <c r="M42" s="249"/>
      <c r="N42" s="251"/>
      <c r="O42" s="249"/>
      <c r="P42" s="249"/>
    </row>
    <row r="43" spans="1:16" s="37" customFormat="1" ht="13" customHeight="1">
      <c r="A43" s="249" t="s">
        <v>85</v>
      </c>
      <c r="B43" s="249"/>
      <c r="C43" s="218"/>
      <c r="D43" s="249"/>
      <c r="E43" s="251"/>
      <c r="F43" s="251"/>
      <c r="G43" s="251"/>
      <c r="H43" s="249"/>
      <c r="I43" s="249"/>
      <c r="J43" s="249"/>
      <c r="K43" s="249"/>
      <c r="L43" s="251"/>
      <c r="M43" s="251"/>
      <c r="N43" s="251"/>
      <c r="O43" s="251"/>
      <c r="P43" s="251"/>
    </row>
    <row r="44" spans="1:16" s="37" customFormat="1" ht="13" customHeight="1">
      <c r="A44" s="251" t="s">
        <v>81</v>
      </c>
      <c r="B44" s="252" t="s">
        <v>48</v>
      </c>
      <c r="C44" s="218" t="s">
        <v>86</v>
      </c>
      <c r="D44" s="251"/>
      <c r="E44" s="251"/>
      <c r="F44" s="251"/>
      <c r="G44" s="251"/>
      <c r="H44" s="251"/>
      <c r="I44" s="251"/>
      <c r="J44" s="251"/>
      <c r="K44" s="251"/>
      <c r="L44" s="251"/>
      <c r="M44" s="251"/>
      <c r="N44" s="249"/>
      <c r="O44" s="251"/>
      <c r="P44" s="251"/>
    </row>
    <row r="45" spans="1:16" s="37" customFormat="1" ht="13" customHeight="1">
      <c r="A45" s="251" t="s">
        <v>87</v>
      </c>
      <c r="B45" s="253">
        <v>0.12</v>
      </c>
      <c r="C45" s="218" t="s">
        <v>88</v>
      </c>
      <c r="D45" s="251"/>
      <c r="E45" s="251"/>
      <c r="F45" s="251"/>
      <c r="G45" s="251"/>
      <c r="H45" s="251"/>
      <c r="I45" s="251"/>
      <c r="J45" s="251"/>
      <c r="K45" s="251"/>
      <c r="L45" s="249"/>
      <c r="M45" s="249"/>
      <c r="N45" s="251"/>
      <c r="O45" s="251"/>
      <c r="P45" s="251"/>
    </row>
    <row r="46" spans="1:16" s="37" customFormat="1" ht="13" customHeight="1">
      <c r="A46" s="249" t="s">
        <v>89</v>
      </c>
      <c r="B46" s="251"/>
      <c r="C46" s="218"/>
      <c r="D46" s="251"/>
      <c r="E46" s="251"/>
      <c r="F46" s="251"/>
      <c r="G46" s="251"/>
      <c r="H46" s="251"/>
      <c r="I46" s="251"/>
      <c r="J46" s="251"/>
      <c r="K46" s="251"/>
      <c r="L46" s="251"/>
      <c r="M46" s="251"/>
      <c r="N46" s="251"/>
      <c r="O46" s="251"/>
      <c r="P46" s="251"/>
    </row>
    <row r="47" spans="1:16" s="37" customFormat="1" ht="13" customHeight="1">
      <c r="A47" s="251" t="s">
        <v>81</v>
      </c>
      <c r="B47" s="252" t="s">
        <v>21</v>
      </c>
      <c r="C47" s="218" t="s">
        <v>90</v>
      </c>
      <c r="D47" s="251"/>
      <c r="E47" s="251"/>
      <c r="F47" s="251"/>
      <c r="G47" s="251"/>
      <c r="H47" s="251"/>
      <c r="I47" s="251"/>
      <c r="J47" s="251"/>
      <c r="K47" s="251"/>
      <c r="L47" s="251"/>
      <c r="M47" s="251"/>
      <c r="N47" s="251"/>
      <c r="O47" s="251"/>
      <c r="P47" s="251"/>
    </row>
    <row r="48" spans="1:16" s="37" customFormat="1" ht="13" customHeight="1">
      <c r="A48" s="251" t="s">
        <v>91</v>
      </c>
      <c r="B48" s="253">
        <v>0.2</v>
      </c>
      <c r="C48" s="218" t="s">
        <v>92</v>
      </c>
      <c r="D48" s="251"/>
      <c r="E48" s="251"/>
      <c r="F48" s="251"/>
      <c r="G48" s="251"/>
      <c r="H48" s="251"/>
      <c r="I48" s="251"/>
      <c r="J48" s="251"/>
      <c r="K48" s="251"/>
      <c r="L48" s="251"/>
      <c r="M48" s="251"/>
      <c r="N48" s="251"/>
      <c r="O48" s="251"/>
      <c r="P48" s="251"/>
    </row>
    <row r="49" spans="1:16" s="37" customFormat="1" ht="13" customHeight="1">
      <c r="A49" s="251" t="s">
        <v>93</v>
      </c>
      <c r="B49" s="253" t="s">
        <v>94</v>
      </c>
      <c r="C49" s="218" t="s">
        <v>95</v>
      </c>
      <c r="D49" s="251"/>
      <c r="E49" s="251"/>
      <c r="F49" s="251"/>
      <c r="G49" s="251"/>
      <c r="H49" s="251"/>
      <c r="I49" s="251"/>
      <c r="J49" s="251"/>
      <c r="K49" s="251"/>
      <c r="L49" s="251"/>
      <c r="M49" s="251"/>
      <c r="N49" s="251"/>
      <c r="O49" s="251"/>
      <c r="P49" s="251"/>
    </row>
    <row r="50" spans="1:16" s="37" customFormat="1" ht="13" customHeight="1">
      <c r="A50" s="251" t="s">
        <v>96</v>
      </c>
      <c r="B50" s="253">
        <v>0.5</v>
      </c>
      <c r="C50" s="218" t="s">
        <v>97</v>
      </c>
      <c r="D50" s="251"/>
      <c r="E50" s="251"/>
      <c r="F50" s="251"/>
      <c r="G50" s="251"/>
      <c r="H50" s="251"/>
      <c r="I50" s="251"/>
      <c r="J50" s="251"/>
      <c r="K50" s="251"/>
      <c r="L50" s="251"/>
      <c r="M50" s="251"/>
      <c r="N50" s="251"/>
      <c r="O50" s="251"/>
      <c r="P50" s="251"/>
    </row>
    <row r="51" spans="1:16" s="37" customFormat="1" ht="13" customHeight="1">
      <c r="A51" s="249" t="s">
        <v>98</v>
      </c>
      <c r="B51" s="254"/>
      <c r="C51" s="218"/>
      <c r="D51" s="251"/>
      <c r="E51" s="251"/>
      <c r="F51" s="251"/>
      <c r="G51" s="251"/>
      <c r="H51" s="251"/>
      <c r="I51" s="251"/>
      <c r="J51" s="251"/>
      <c r="K51" s="251"/>
      <c r="L51" s="251"/>
      <c r="M51" s="251"/>
      <c r="N51" s="251"/>
      <c r="O51" s="251"/>
      <c r="P51" s="251"/>
    </row>
    <row r="52" spans="1:16" s="37" customFormat="1" ht="13" customHeight="1">
      <c r="A52" s="251" t="s">
        <v>81</v>
      </c>
      <c r="B52" s="253" t="s">
        <v>21</v>
      </c>
      <c r="C52" s="218"/>
      <c r="D52" s="251"/>
      <c r="E52" s="251"/>
      <c r="F52" s="251"/>
      <c r="G52" s="251"/>
      <c r="H52" s="251"/>
      <c r="I52" s="251"/>
      <c r="J52" s="251"/>
      <c r="K52" s="251"/>
      <c r="L52" s="251"/>
      <c r="M52" s="251"/>
      <c r="N52" s="251"/>
      <c r="O52" s="251"/>
      <c r="P52" s="251"/>
    </row>
    <row r="53" spans="1:16" s="37" customFormat="1" ht="13" customHeight="1">
      <c r="A53" s="249" t="s">
        <v>99</v>
      </c>
      <c r="B53" s="251"/>
      <c r="C53" s="218"/>
      <c r="D53" s="251"/>
      <c r="E53" s="251"/>
      <c r="F53" s="251"/>
      <c r="G53" s="251"/>
      <c r="H53" s="251"/>
      <c r="I53" s="251"/>
      <c r="J53" s="251"/>
      <c r="K53" s="251"/>
      <c r="L53" s="251"/>
      <c r="M53" s="251"/>
      <c r="N53" s="251"/>
      <c r="O53" s="251"/>
      <c r="P53" s="251"/>
    </row>
    <row r="54" spans="1:16" s="37" customFormat="1" ht="13" customHeight="1">
      <c r="A54" s="251" t="s">
        <v>81</v>
      </c>
      <c r="B54" s="252" t="s">
        <v>21</v>
      </c>
      <c r="C54" s="218" t="s">
        <v>100</v>
      </c>
      <c r="D54" s="251"/>
      <c r="E54" s="251"/>
      <c r="F54" s="251"/>
      <c r="G54" s="251"/>
      <c r="H54" s="251"/>
      <c r="I54" s="251"/>
      <c r="J54" s="251"/>
      <c r="K54" s="251"/>
      <c r="L54" s="251"/>
      <c r="M54" s="251"/>
      <c r="N54" s="251"/>
      <c r="O54" s="251"/>
      <c r="P54" s="251"/>
    </row>
    <row r="55" spans="1:16" s="37" customFormat="1" ht="13" customHeight="1">
      <c r="A55" s="251" t="s">
        <v>101</v>
      </c>
      <c r="B55" s="275">
        <v>250</v>
      </c>
      <c r="C55" s="218" t="s">
        <v>102</v>
      </c>
      <c r="D55" s="251"/>
      <c r="E55" s="251"/>
      <c r="F55" s="251"/>
      <c r="G55" s="251"/>
      <c r="H55" s="251"/>
      <c r="I55" s="251"/>
      <c r="J55" s="251"/>
      <c r="K55" s="251"/>
      <c r="L55" s="251"/>
      <c r="M55" s="251"/>
      <c r="N55" s="251"/>
      <c r="O55" s="251"/>
      <c r="P55" s="251"/>
    </row>
    <row r="56" spans="1:16" s="37" customFormat="1" ht="13" customHeight="1">
      <c r="A56" s="251" t="s">
        <v>103</v>
      </c>
      <c r="B56" s="276"/>
      <c r="C56" s="218"/>
      <c r="D56" s="251"/>
      <c r="E56" s="255"/>
      <c r="F56" s="255"/>
      <c r="G56" s="255"/>
      <c r="H56" s="249"/>
      <c r="I56" s="249"/>
      <c r="J56" s="249"/>
      <c r="K56" s="249"/>
      <c r="L56" s="251"/>
      <c r="M56" s="251"/>
      <c r="N56" s="251"/>
      <c r="O56" s="251"/>
      <c r="P56" s="251"/>
    </row>
    <row r="57" spans="1:16" s="37" customFormat="1" ht="13" customHeight="1">
      <c r="A57" s="251" t="s">
        <v>81</v>
      </c>
      <c r="B57" s="275" t="s">
        <v>48</v>
      </c>
      <c r="C57" s="218"/>
      <c r="D57" s="251"/>
      <c r="E57" s="212"/>
      <c r="F57" s="212"/>
      <c r="G57" s="212"/>
      <c r="H57" s="251"/>
      <c r="I57" s="251"/>
      <c r="J57" s="251"/>
      <c r="K57" s="251"/>
      <c r="L57" s="251"/>
      <c r="M57" s="251"/>
      <c r="N57" s="251"/>
      <c r="O57" s="251"/>
      <c r="P57" s="251"/>
    </row>
    <row r="58" spans="1:16" s="138" customFormat="1" ht="13" customHeight="1">
      <c r="A58" s="251" t="s">
        <v>104</v>
      </c>
      <c r="B58" s="256">
        <v>1.4999999999999999E-2</v>
      </c>
      <c r="C58" s="218" t="s">
        <v>105</v>
      </c>
      <c r="D58" s="251"/>
      <c r="E58" s="212"/>
      <c r="F58" s="212"/>
      <c r="G58" s="212"/>
      <c r="H58" s="251"/>
      <c r="I58" s="251"/>
      <c r="J58" s="251"/>
      <c r="K58" s="251"/>
      <c r="L58" s="249"/>
      <c r="M58" s="249"/>
      <c r="N58" s="249"/>
      <c r="O58" s="255"/>
      <c r="P58" s="255"/>
    </row>
    <row r="59" spans="1:16" ht="13" customHeight="1">
      <c r="A59" s="251" t="s">
        <v>106</v>
      </c>
      <c r="B59" s="249"/>
      <c r="C59" s="249"/>
      <c r="D59" s="249"/>
      <c r="E59" s="251"/>
      <c r="F59" s="251"/>
      <c r="G59" s="251"/>
      <c r="H59" s="251"/>
      <c r="I59" s="212"/>
      <c r="J59" s="212"/>
      <c r="K59" s="212"/>
      <c r="L59" s="251"/>
      <c r="M59" s="251"/>
      <c r="N59" s="251"/>
      <c r="O59" s="212"/>
      <c r="P59" s="212"/>
    </row>
    <row r="60" spans="1:16" ht="13" customHeight="1">
      <c r="A60" s="251" t="s">
        <v>107</v>
      </c>
      <c r="B60" s="252" t="s">
        <v>21</v>
      </c>
      <c r="C60" s="251"/>
      <c r="D60" s="251"/>
      <c r="E60" s="251"/>
      <c r="F60" s="251"/>
      <c r="G60" s="251"/>
      <c r="H60" s="251"/>
      <c r="I60" s="212"/>
      <c r="J60" s="212"/>
      <c r="K60" s="212"/>
      <c r="L60" s="251"/>
      <c r="M60" s="251"/>
      <c r="N60" s="212"/>
      <c r="O60" s="212"/>
      <c r="P60" s="212"/>
    </row>
    <row r="61" spans="1:16" ht="13" customHeight="1">
      <c r="A61" s="251" t="s">
        <v>108</v>
      </c>
      <c r="B61" s="275">
        <v>140000</v>
      </c>
      <c r="C61" s="218" t="s">
        <v>109</v>
      </c>
      <c r="D61" s="251"/>
      <c r="E61" s="251"/>
      <c r="F61" s="251"/>
      <c r="G61" s="251"/>
      <c r="H61" s="251"/>
      <c r="I61" s="212"/>
      <c r="J61" s="212"/>
      <c r="K61" s="212"/>
      <c r="L61" s="212"/>
      <c r="M61" s="212"/>
      <c r="N61" s="212"/>
      <c r="O61" s="212"/>
      <c r="P61" s="212"/>
    </row>
    <row r="62" spans="1:16" ht="13" customHeight="1">
      <c r="A62" s="219" t="s">
        <v>110</v>
      </c>
      <c r="B62" s="253">
        <v>0.15</v>
      </c>
      <c r="C62" s="218" t="s">
        <v>111</v>
      </c>
      <c r="D62" s="251"/>
      <c r="E62" s="251"/>
      <c r="F62" s="251"/>
      <c r="G62" s="251"/>
      <c r="H62" s="251"/>
      <c r="I62" s="212"/>
      <c r="J62" s="212"/>
      <c r="K62" s="212"/>
      <c r="L62" s="212"/>
      <c r="M62" s="212"/>
      <c r="N62" s="212"/>
      <c r="O62" s="212"/>
      <c r="P62" s="212"/>
    </row>
    <row r="63" spans="1:16" ht="13" customHeight="1">
      <c r="A63" s="257"/>
      <c r="B63" s="251"/>
      <c r="C63" s="251"/>
      <c r="D63" s="251"/>
      <c r="E63" s="251"/>
      <c r="F63" s="251"/>
      <c r="G63" s="251"/>
      <c r="H63" s="251"/>
      <c r="I63" s="212"/>
      <c r="J63" s="212"/>
      <c r="K63" s="212"/>
      <c r="L63" s="212"/>
      <c r="M63" s="212"/>
      <c r="N63" s="212"/>
      <c r="O63" s="212"/>
      <c r="P63" s="212"/>
    </row>
    <row r="64" spans="1:16" ht="13" customHeight="1">
      <c r="A64" s="251"/>
      <c r="B64" s="251"/>
      <c r="C64" s="251"/>
      <c r="D64" s="251"/>
      <c r="E64" s="251"/>
      <c r="F64" s="251"/>
      <c r="G64" s="251"/>
      <c r="H64" s="251"/>
      <c r="I64" s="212"/>
      <c r="J64" s="212"/>
      <c r="K64" s="212"/>
      <c r="L64" s="212"/>
      <c r="M64" s="212"/>
      <c r="N64" s="212"/>
      <c r="O64" s="212"/>
      <c r="P64" s="212"/>
    </row>
    <row r="65" spans="1:16" ht="13" customHeight="1">
      <c r="A65" s="251"/>
      <c r="B65" s="251"/>
      <c r="C65" s="251"/>
      <c r="D65" s="251"/>
      <c r="E65" s="251"/>
      <c r="F65" s="251"/>
      <c r="G65" s="251"/>
      <c r="H65" s="251"/>
      <c r="I65" s="212"/>
      <c r="J65" s="212"/>
      <c r="K65" s="212"/>
      <c r="L65" s="212"/>
      <c r="M65" s="212"/>
      <c r="N65" s="212"/>
      <c r="O65" s="212"/>
      <c r="P65" s="212"/>
    </row>
  </sheetData>
  <mergeCells count="3">
    <mergeCell ref="A39:B39"/>
    <mergeCell ref="A3:J3"/>
    <mergeCell ref="E29:J29"/>
  </mergeCells>
  <dataValidations count="3">
    <dataValidation type="decimal" showInputMessage="1" showErrorMessage="1" promptTitle="No negative tax rates" prompt="While it is possible for an effective tax rate to be less than 0% or greater than 100% in any given year, it is dangerous to build off these tax rates for making future projections. If less than zero, enter zero. If greater than the 100%, go with the marg" sqref="B20" xr:uid="{00000000-0002-0000-0000-000000000000}">
      <formula1>0</formula1>
      <formula2>1</formula2>
    </dataValidation>
    <dataValidation type="list" showInputMessage="1" showErrorMessage="1" sqref="B24 B13:B14 B33 B41 B44 B47 B52 B54 B57 B60" xr:uid="{00000000-0002-0000-0000-000001000000}">
      <formula1>"Yes, No"</formula1>
    </dataValidation>
    <dataValidation type="list" showInputMessage="1" showErrorMessage="1" sqref="B49" xr:uid="{00000000-0002-0000-0000-000003000000}">
      <formula1>"V, B"</formula1>
    </dataValidation>
  </dataValidations>
  <pageMargins left="0.75" right="0.75" top="1" bottom="1" header="0.5" footer="0.5"/>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2">
        <x14:dataValidation type="list" showInputMessage="1" showErrorMessage="1" xr:uid="{00000000-0002-0000-0000-000004000000}">
          <x14:formula1>
            <xm:f>'Industry Average Beta (US)'!$A$2:$A$95</xm:f>
          </x14:formula1>
          <xm:sqref>B6 B7</xm:sqref>
        </x14:dataValidation>
        <x14:dataValidation type="list" showInputMessage="1" showErrorMessage="1" xr:uid="{00000000-0002-0000-0000-000005000000}">
          <x14:formula1>
            <xm:f>'Country equity risk premiums'!$A$5:$A$179</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7"/>
  <sheetViews>
    <sheetView workbookViewId="0">
      <selection activeCell="C15" sqref="C15"/>
    </sheetView>
  </sheetViews>
  <sheetFormatPr baseColWidth="10" defaultRowHeight="13"/>
  <sheetData>
    <row r="1" spans="1:7" s="7" customFormat="1" ht="19" customHeight="1">
      <c r="A1" s="6" t="s">
        <v>289</v>
      </c>
      <c r="B1" s="6"/>
    </row>
    <row r="2" spans="1:7" ht="14" customHeight="1">
      <c r="A2" s="56" t="s">
        <v>290</v>
      </c>
      <c r="B2" s="56"/>
      <c r="D2" s="308">
        <f>'Input sheet'!B19</f>
        <v>145.97999999999999</v>
      </c>
    </row>
    <row r="3" spans="1:7" ht="14" customHeight="1">
      <c r="A3" s="56" t="s">
        <v>291</v>
      </c>
      <c r="B3" s="56"/>
      <c r="D3" s="309">
        <f>'Input sheet'!B35</f>
        <v>50</v>
      </c>
    </row>
    <row r="4" spans="1:7" ht="14" customHeight="1">
      <c r="A4" s="56" t="s">
        <v>292</v>
      </c>
      <c r="B4" s="56"/>
      <c r="D4" s="10">
        <f>'Input sheet'!B36</f>
        <v>2.95</v>
      </c>
    </row>
    <row r="5" spans="1:7" ht="14" customHeight="1">
      <c r="A5" s="56" t="s">
        <v>293</v>
      </c>
      <c r="B5" s="56"/>
      <c r="D5" s="8">
        <f>'Input sheet'!B37</f>
        <v>0.39500000000000002</v>
      </c>
      <c r="E5" s="56" t="s">
        <v>294</v>
      </c>
    </row>
    <row r="6" spans="1:7" ht="14" customHeight="1">
      <c r="A6" s="56" t="s">
        <v>295</v>
      </c>
      <c r="B6" s="56"/>
      <c r="D6" s="9">
        <v>0</v>
      </c>
    </row>
    <row r="7" spans="1:7" ht="14" customHeight="1">
      <c r="A7" s="56" t="s">
        <v>296</v>
      </c>
      <c r="B7" s="56"/>
      <c r="D7" s="9">
        <f>'Input sheet'!B30</f>
        <v>8.0000000000000002E-3</v>
      </c>
    </row>
    <row r="8" spans="1:7" ht="14" customHeight="1">
      <c r="A8" s="56" t="s">
        <v>297</v>
      </c>
      <c r="B8" s="56"/>
      <c r="D8" s="10">
        <f>'Input sheet'!B34</f>
        <v>1000</v>
      </c>
    </row>
    <row r="9" spans="1:7" ht="14" customHeight="1">
      <c r="A9" s="56" t="s">
        <v>298</v>
      </c>
      <c r="B9" s="56"/>
      <c r="D9" s="11">
        <f>'Input sheet'!B18</f>
        <v>1128.27</v>
      </c>
    </row>
    <row r="10" spans="1:7" ht="14" customHeight="1">
      <c r="A10" s="56"/>
      <c r="B10" s="56"/>
    </row>
    <row r="11" spans="1:7" s="14" customFormat="1" ht="14" customHeight="1">
      <c r="A11" s="12" t="s">
        <v>299</v>
      </c>
      <c r="B11" s="13"/>
    </row>
    <row r="12" spans="1:7" s="56" customFormat="1" ht="14" customHeight="1">
      <c r="A12" s="54" t="s">
        <v>300</v>
      </c>
    </row>
    <row r="13" spans="1:7" s="56" customFormat="1" ht="14" customHeight="1">
      <c r="A13" s="56" t="s">
        <v>301</v>
      </c>
      <c r="C13" s="15">
        <f>D2</f>
        <v>145.97999999999999</v>
      </c>
      <c r="D13" s="56" t="s">
        <v>302</v>
      </c>
      <c r="F13" s="16">
        <f>D8</f>
        <v>1000</v>
      </c>
      <c r="G13" s="17"/>
    </row>
    <row r="14" spans="1:7" s="56" customFormat="1" ht="14" customHeight="1">
      <c r="A14" s="56" t="s">
        <v>303</v>
      </c>
      <c r="C14" s="15">
        <f>D3</f>
        <v>50</v>
      </c>
      <c r="D14" s="56" t="s">
        <v>304</v>
      </c>
      <c r="F14" s="18">
        <f>D9</f>
        <v>1128.27</v>
      </c>
      <c r="G14" s="17"/>
    </row>
    <row r="15" spans="1:7" s="56" customFormat="1" ht="14" customHeight="1">
      <c r="A15" s="56" t="s">
        <v>305</v>
      </c>
      <c r="C15" s="15" t="e">
        <f ca="1">(C13*F14+C26*F13)/(F14+F13)</f>
        <v>#VALUE!</v>
      </c>
      <c r="D15" s="56" t="s">
        <v>306</v>
      </c>
      <c r="F15" s="19">
        <f>D7</f>
        <v>8.0000000000000002E-3</v>
      </c>
    </row>
    <row r="16" spans="1:7" s="56" customFormat="1" ht="14" customHeight="1">
      <c r="A16" s="56" t="s">
        <v>307</v>
      </c>
      <c r="C16" s="15">
        <f>C14</f>
        <v>50</v>
      </c>
      <c r="D16" s="56" t="s">
        <v>308</v>
      </c>
      <c r="F16" s="20">
        <f>D5^2</f>
        <v>0.15602500000000002</v>
      </c>
    </row>
    <row r="17" spans="1:7" s="56" customFormat="1" ht="14" customHeight="1">
      <c r="A17" s="56" t="s">
        <v>309</v>
      </c>
      <c r="C17" s="15">
        <f>D4</f>
        <v>2.95</v>
      </c>
      <c r="D17" s="56" t="s">
        <v>310</v>
      </c>
      <c r="F17" s="19">
        <f>D6</f>
        <v>0</v>
      </c>
    </row>
    <row r="18" spans="1:7" s="56" customFormat="1" ht="14" customHeight="1">
      <c r="C18" s="54"/>
      <c r="D18" s="56" t="s">
        <v>311</v>
      </c>
      <c r="F18" s="21">
        <f>F15-F17</f>
        <v>8.0000000000000002E-3</v>
      </c>
    </row>
    <row r="19" spans="1:7" s="56" customFormat="1" ht="14" customHeight="1"/>
    <row r="20" spans="1:7" s="56" customFormat="1" ht="14" customHeight="1">
      <c r="A20" s="56" t="s">
        <v>312</v>
      </c>
      <c r="B20" s="16" t="e">
        <f ca="1">(LN(C15/C16)+(F18+(F16/2))*C17)/(((F16)^(0.5))*(C17^0.5))</f>
        <v>#VALUE!</v>
      </c>
    </row>
    <row r="21" spans="1:7" s="56" customFormat="1" ht="14" customHeight="1">
      <c r="A21" s="56" t="s">
        <v>313</v>
      </c>
      <c r="B21" s="16" t="e">
        <f ca="1">NORMSDIST(B20)</f>
        <v>#VALUE!</v>
      </c>
    </row>
    <row r="22" spans="1:7" s="56" customFormat="1" ht="14" customHeight="1"/>
    <row r="23" spans="1:7" s="56" customFormat="1" ht="15.75" customHeight="1">
      <c r="A23" s="56" t="s">
        <v>314</v>
      </c>
      <c r="B23" s="16" t="e">
        <f ca="1">B20-((F16^0.5)*(C17^(0.5)))</f>
        <v>#VALUE!</v>
      </c>
    </row>
    <row r="24" spans="1:7" s="56" customFormat="1" ht="14" customHeight="1">
      <c r="A24" s="56" t="s">
        <v>315</v>
      </c>
      <c r="B24" s="16" t="e">
        <f ca="1">NORMSDIST(B23)</f>
        <v>#VALUE!</v>
      </c>
    </row>
    <row r="25" spans="1:7" ht="15" customHeight="1" thickBot="1">
      <c r="A25" s="56"/>
      <c r="B25" s="56"/>
    </row>
    <row r="26" spans="1:7" s="56" customFormat="1" ht="15" customHeight="1" thickBot="1">
      <c r="A26" s="56" t="s">
        <v>316</v>
      </c>
      <c r="C26" s="319" t="e">
        <f ca="1">((EXP((0-F17)*C17))*C15*B21-C16*(EXP((0-F15)*C17))*B24)</f>
        <v>#VALUE!</v>
      </c>
      <c r="G26" s="307"/>
    </row>
    <row r="27" spans="1:7" s="56" customFormat="1" ht="15" customHeight="1" thickBot="1">
      <c r="A27" s="56" t="s">
        <v>317</v>
      </c>
      <c r="D27" s="322" t="e">
        <f ca="1">C26*D8</f>
        <v>#VALUE!</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64"/>
  <sheetViews>
    <sheetView workbookViewId="0">
      <selection activeCell="G10" sqref="G10"/>
    </sheetView>
  </sheetViews>
  <sheetFormatPr baseColWidth="10" defaultRowHeight="13"/>
  <cols>
    <col min="1" max="1" width="40.1640625" bestFit="1" customWidth="1"/>
    <col min="2" max="2" width="17.33203125" bestFit="1" customWidth="1"/>
    <col min="7" max="7" width="19.5" bestFit="1" customWidth="1"/>
    <col min="8" max="8" width="16.33203125" customWidth="1"/>
    <col min="11" max="11" width="18.1640625" bestFit="1" customWidth="1"/>
  </cols>
  <sheetData>
    <row r="1" spans="1:17">
      <c r="A1" s="393" t="s">
        <v>318</v>
      </c>
      <c r="B1" s="367"/>
      <c r="C1" s="367"/>
      <c r="D1" s="367"/>
      <c r="E1" s="367"/>
      <c r="F1" s="367"/>
      <c r="G1" s="367"/>
      <c r="H1" s="367"/>
      <c r="I1" s="367"/>
      <c r="J1" s="367"/>
      <c r="K1" s="368"/>
    </row>
    <row r="2" spans="1:17">
      <c r="A2" s="373"/>
      <c r="B2" s="374"/>
      <c r="C2" s="374"/>
      <c r="D2" s="374"/>
      <c r="E2" s="374"/>
      <c r="F2" s="374"/>
      <c r="G2" s="374"/>
      <c r="H2" s="374"/>
      <c r="I2" s="374"/>
      <c r="J2" s="374"/>
      <c r="K2" s="375"/>
    </row>
    <row r="3" spans="1:17" s="53" customFormat="1" ht="19" customHeight="1">
      <c r="A3" s="53" t="s">
        <v>319</v>
      </c>
      <c r="B3" s="137"/>
      <c r="C3" s="132"/>
      <c r="G3" s="66" t="s">
        <v>320</v>
      </c>
    </row>
    <row r="4" spans="1:17" s="12" customFormat="1" ht="15" customHeight="1">
      <c r="A4" s="12" t="s">
        <v>205</v>
      </c>
      <c r="B4" s="136"/>
      <c r="C4" s="132"/>
      <c r="G4" s="91" t="s">
        <v>321</v>
      </c>
      <c r="H4" s="91" t="s">
        <v>15</v>
      </c>
      <c r="I4" s="91" t="s">
        <v>322</v>
      </c>
      <c r="J4" s="91" t="s">
        <v>323</v>
      </c>
      <c r="K4" s="91" t="s">
        <v>324</v>
      </c>
    </row>
    <row r="5" spans="1:17" s="56" customFormat="1" ht="15" customHeight="1">
      <c r="A5" s="54" t="s">
        <v>325</v>
      </c>
      <c r="G5" s="126" t="s">
        <v>444</v>
      </c>
      <c r="H5" s="126">
        <v>14001</v>
      </c>
      <c r="I5" s="60">
        <f>IF(H5=0,0,VLOOKUP(G5,'Country equity risk premiums'!$A$5:$D$190,4))</f>
        <v>6.2339543365796321E-2</v>
      </c>
      <c r="J5" s="60">
        <f t="shared" ref="J5:J17" si="0">IF(H5&gt;0,H5/$H$18,)</f>
        <v>0.5950023373422294</v>
      </c>
      <c r="K5" s="60">
        <f t="shared" ref="K5:K17" si="1">IF(J5=0,0,I5*J5)</f>
        <v>3.709217401149608E-2</v>
      </c>
      <c r="M5" s="391" t="s">
        <v>326</v>
      </c>
      <c r="N5" s="392"/>
      <c r="O5" s="392"/>
      <c r="P5" s="392"/>
      <c r="Q5" s="392"/>
    </row>
    <row r="6" spans="1:17" s="56" customFormat="1" ht="15" customHeight="1">
      <c r="A6" s="56" t="s">
        <v>327</v>
      </c>
      <c r="B6" s="59">
        <f>'Input sheet'!B18</f>
        <v>1128.27</v>
      </c>
      <c r="G6" s="126" t="s">
        <v>764</v>
      </c>
      <c r="H6" s="126">
        <v>2964</v>
      </c>
      <c r="I6" s="60">
        <f>IF(H6=0,0,VLOOKUP(G6,'Country equity risk premiums'!$A$5:$D$190,4))</f>
        <v>8.8718634773404886E-2</v>
      </c>
      <c r="J6" s="60">
        <f t="shared" si="0"/>
        <v>0.12596149759891206</v>
      </c>
      <c r="K6" s="60">
        <f t="shared" si="1"/>
        <v>1.1175132100988996E-2</v>
      </c>
      <c r="M6" s="392"/>
      <c r="N6" s="392"/>
      <c r="O6" s="392"/>
      <c r="P6" s="392"/>
      <c r="Q6" s="392"/>
    </row>
    <row r="7" spans="1:17" s="56" customFormat="1" ht="15" customHeight="1">
      <c r="A7" s="56" t="s">
        <v>328</v>
      </c>
      <c r="B7" s="323">
        <f>'Input sheet'!B19</f>
        <v>145.97999999999999</v>
      </c>
      <c r="G7" s="126" t="s">
        <v>765</v>
      </c>
      <c r="H7" s="126">
        <v>1129</v>
      </c>
      <c r="I7" s="60">
        <f>IF(H7=0,0,VLOOKUP(G7,'Country equity risk premiums'!$A$5:$D$190,4))</f>
        <v>5.1999999999999998E-2</v>
      </c>
      <c r="J7" s="60">
        <f t="shared" si="0"/>
        <v>4.7979261399855512E-2</v>
      </c>
      <c r="K7" s="60">
        <f t="shared" si="1"/>
        <v>2.4949215927924863E-3</v>
      </c>
      <c r="M7" s="392"/>
      <c r="N7" s="392"/>
      <c r="O7" s="392"/>
      <c r="P7" s="392"/>
      <c r="Q7" s="392"/>
    </row>
    <row r="8" spans="1:17" s="56" customFormat="1" ht="15" customHeight="1">
      <c r="G8" s="126" t="s">
        <v>766</v>
      </c>
      <c r="H8" s="126">
        <v>867</v>
      </c>
      <c r="I8" s="60">
        <f>IF(H8=0,0,VLOOKUP(G8,'Country equity risk premiums'!$A$5:$D$190,4))</f>
        <v>6.4460475338267362E-2</v>
      </c>
      <c r="J8" s="60">
        <f t="shared" si="0"/>
        <v>3.6845012961625088E-2</v>
      </c>
      <c r="K8" s="60">
        <f t="shared" si="1"/>
        <v>2.3750470493509755E-3</v>
      </c>
      <c r="M8" s="392"/>
      <c r="N8" s="392"/>
      <c r="O8" s="392"/>
      <c r="P8" s="392"/>
      <c r="Q8" s="392"/>
    </row>
    <row r="9" spans="1:17" s="56" customFormat="1" ht="15" customHeight="1">
      <c r="A9" s="56" t="s">
        <v>329</v>
      </c>
      <c r="B9" s="126" t="s">
        <v>330</v>
      </c>
      <c r="G9" s="126" t="s">
        <v>767</v>
      </c>
      <c r="H9" s="126">
        <v>4570</v>
      </c>
      <c r="I9" s="60">
        <v>6.5000000000000002E-2</v>
      </c>
      <c r="J9" s="60">
        <f t="shared" si="0"/>
        <v>0.19421189069737793</v>
      </c>
      <c r="K9" s="60">
        <f t="shared" si="1"/>
        <v>1.2623772895329566E-2</v>
      </c>
      <c r="M9" s="392"/>
      <c r="N9" s="392"/>
      <c r="O9" s="392"/>
      <c r="P9" s="392"/>
      <c r="Q9" s="392"/>
    </row>
    <row r="10" spans="1:17" s="56" customFormat="1" ht="15" customHeight="1">
      <c r="A10" s="56" t="s">
        <v>331</v>
      </c>
      <c r="B10" s="133">
        <v>2.06</v>
      </c>
      <c r="G10" s="126"/>
      <c r="H10" s="126"/>
      <c r="I10" s="60">
        <f>IF(H10=0,0,VLOOKUP(G10,'Country equity risk premiums'!$A$5:$D$190,4))</f>
        <v>0</v>
      </c>
      <c r="J10" s="60">
        <f t="shared" si="0"/>
        <v>0</v>
      </c>
      <c r="K10" s="60">
        <f t="shared" si="1"/>
        <v>0</v>
      </c>
      <c r="M10" s="392"/>
      <c r="N10" s="392"/>
      <c r="O10" s="392"/>
      <c r="P10" s="392"/>
      <c r="Q10" s="392"/>
    </row>
    <row r="11" spans="1:17" s="56" customFormat="1" ht="15" customHeight="1">
      <c r="A11" s="56" t="s">
        <v>332</v>
      </c>
      <c r="B11" s="92">
        <f>IF(B9="Single Business(US)",VLOOKUP('Input sheet'!B6,'Industry Average Beta (US)'!A2:G95,7),IF(B9="Multibusiness(US)",K48,IF(B9="Single Business(Global)",VLOOKUP('Input sheet'!B7,'Industry Average Beta (Global)'!A2:G95,7),'Cost of capital worksheet'!K64)))</f>
        <v>1.2368902767245551</v>
      </c>
      <c r="G11" s="126"/>
      <c r="H11" s="126"/>
      <c r="I11" s="60">
        <f>IF(H11=0,0,VLOOKUP(G11,'Country equity risk premiums'!$A$5:$D$190,4))</f>
        <v>0</v>
      </c>
      <c r="J11" s="60">
        <f t="shared" si="0"/>
        <v>0</v>
      </c>
      <c r="K11" s="60">
        <f t="shared" si="1"/>
        <v>0</v>
      </c>
      <c r="M11" s="392"/>
      <c r="N11" s="392"/>
      <c r="O11" s="392"/>
      <c r="P11" s="392"/>
      <c r="Q11" s="392"/>
    </row>
    <row r="12" spans="1:17" s="56" customFormat="1" ht="15" customHeight="1">
      <c r="A12" s="56" t="s">
        <v>333</v>
      </c>
      <c r="B12" s="62">
        <f>'Input sheet'!B30</f>
        <v>8.0000000000000002E-3</v>
      </c>
      <c r="G12" s="126"/>
      <c r="H12" s="126"/>
      <c r="I12" s="60">
        <f>IF(H12=0,0,VLOOKUP(G12,'Country equity risk premiums'!$A$5:$D$190,4))</f>
        <v>0</v>
      </c>
      <c r="J12" s="60">
        <f t="shared" si="0"/>
        <v>0</v>
      </c>
      <c r="K12" s="60">
        <f t="shared" si="1"/>
        <v>0</v>
      </c>
      <c r="M12" s="392"/>
      <c r="N12" s="392"/>
      <c r="O12" s="392"/>
      <c r="P12" s="392"/>
      <c r="Q12" s="392"/>
    </row>
    <row r="13" spans="1:17" s="56" customFormat="1" ht="15" customHeight="1">
      <c r="A13" s="56" t="s">
        <v>334</v>
      </c>
      <c r="B13" s="127" t="s">
        <v>335</v>
      </c>
      <c r="G13" s="126"/>
      <c r="H13" s="126"/>
      <c r="I13" s="60">
        <f>IF(H13=0,0,VLOOKUP(G13,'Country equity risk premiums'!$A$5:$D$190,4))</f>
        <v>0</v>
      </c>
      <c r="J13" s="60">
        <f t="shared" si="0"/>
        <v>0</v>
      </c>
      <c r="K13" s="60">
        <f t="shared" si="1"/>
        <v>0</v>
      </c>
      <c r="M13" s="392"/>
      <c r="N13" s="392"/>
      <c r="O13" s="392"/>
      <c r="P13" s="392"/>
      <c r="Q13" s="392"/>
    </row>
    <row r="14" spans="1:17" s="56" customFormat="1" ht="15" customHeight="1">
      <c r="A14" s="56" t="s">
        <v>336</v>
      </c>
      <c r="B14" s="127">
        <v>0.06</v>
      </c>
      <c r="G14" s="126"/>
      <c r="H14" s="126"/>
      <c r="I14" s="60">
        <f>IF(H14=0,0,VLOOKUP(G14,'Country equity risk premiums'!$A$5:$D$190,4))</f>
        <v>0</v>
      </c>
      <c r="J14" s="60">
        <f t="shared" si="0"/>
        <v>0</v>
      </c>
      <c r="K14" s="60">
        <f t="shared" si="1"/>
        <v>0</v>
      </c>
      <c r="M14" s="392"/>
      <c r="N14" s="392"/>
      <c r="O14" s="392"/>
      <c r="P14" s="392"/>
      <c r="Q14" s="392"/>
    </row>
    <row r="15" spans="1:17" s="56" customFormat="1" ht="15" customHeight="1">
      <c r="A15" s="56" t="s">
        <v>337</v>
      </c>
      <c r="B15" s="128">
        <f>IF(B13="Will Input",B14,IF(B13="Country of Incorporation",VLOOKUP('Input sheet'!B5,'Country equity risk premiums'!A5:E190,4),IF(B13="Operating regions",'Cost of capital worksheet'!K32,'Cost of capital worksheet'!K18)))</f>
        <v>6.5761047649958104E-2</v>
      </c>
      <c r="G15" s="126"/>
      <c r="H15" s="126"/>
      <c r="I15" s="60">
        <f>IF(H15=0,0,VLOOKUP(G15,'Country equity risk premiums'!$A$5:$D$190,4))</f>
        <v>0</v>
      </c>
      <c r="J15" s="60">
        <f t="shared" si="0"/>
        <v>0</v>
      </c>
      <c r="K15" s="60">
        <f t="shared" si="1"/>
        <v>0</v>
      </c>
      <c r="M15" s="392"/>
      <c r="N15" s="392"/>
      <c r="O15" s="392"/>
      <c r="P15" s="392"/>
      <c r="Q15" s="392"/>
    </row>
    <row r="16" spans="1:17" s="56" customFormat="1" ht="15" customHeight="1">
      <c r="G16" s="187"/>
      <c r="H16" s="126"/>
      <c r="I16" s="187"/>
      <c r="J16" s="60">
        <f t="shared" si="0"/>
        <v>0</v>
      </c>
      <c r="K16" s="60">
        <f t="shared" si="1"/>
        <v>0</v>
      </c>
      <c r="M16" s="392"/>
      <c r="N16" s="392"/>
      <c r="O16" s="392"/>
      <c r="P16" s="392"/>
      <c r="Q16" s="392"/>
    </row>
    <row r="17" spans="1:17" s="56" customFormat="1" ht="15" customHeight="1">
      <c r="A17" s="54" t="s">
        <v>338</v>
      </c>
      <c r="G17" s="187"/>
      <c r="H17" s="126"/>
      <c r="I17" s="187"/>
      <c r="J17" s="60">
        <f t="shared" si="0"/>
        <v>0</v>
      </c>
      <c r="K17" s="60">
        <f t="shared" si="1"/>
        <v>0</v>
      </c>
      <c r="M17" s="392"/>
      <c r="N17" s="392"/>
      <c r="O17" s="392"/>
      <c r="P17" s="392"/>
      <c r="Q17" s="392"/>
    </row>
    <row r="18" spans="1:17" s="56" customFormat="1" ht="15" customHeight="1">
      <c r="A18" s="56" t="s">
        <v>339</v>
      </c>
      <c r="B18" s="323">
        <f>'Input sheet'!B12</f>
        <v>15726</v>
      </c>
      <c r="G18" s="90" t="s">
        <v>340</v>
      </c>
      <c r="H18" s="90">
        <f>SUM(H5:H17)</f>
        <v>23531</v>
      </c>
      <c r="I18" s="90"/>
      <c r="J18" s="60">
        <f>SUM(J5:J17)</f>
        <v>1</v>
      </c>
      <c r="K18" s="60">
        <f>SUM(K5:K17)</f>
        <v>6.5761047649958104E-2</v>
      </c>
      <c r="M18" s="392"/>
      <c r="N18" s="392"/>
      <c r="O18" s="392"/>
      <c r="P18" s="392"/>
      <c r="Q18" s="392"/>
    </row>
    <row r="19" spans="1:17" s="56" customFormat="1" ht="15" customHeight="1">
      <c r="A19" s="56" t="s">
        <v>341</v>
      </c>
      <c r="B19" s="323">
        <f>'Input sheet'!B10</f>
        <v>602</v>
      </c>
      <c r="G19" s="66" t="s">
        <v>342</v>
      </c>
      <c r="M19" s="392"/>
      <c r="N19" s="392"/>
      <c r="O19" s="392"/>
      <c r="P19" s="392"/>
      <c r="Q19" s="392"/>
    </row>
    <row r="20" spans="1:17" s="56" customFormat="1" ht="15" customHeight="1">
      <c r="A20" s="56" t="s">
        <v>343</v>
      </c>
      <c r="B20" s="55">
        <v>3</v>
      </c>
      <c r="G20" s="16" t="s">
        <v>344</v>
      </c>
      <c r="H20" s="16" t="s">
        <v>15</v>
      </c>
      <c r="I20" s="16" t="s">
        <v>322</v>
      </c>
      <c r="J20" s="16" t="s">
        <v>323</v>
      </c>
      <c r="K20" s="16" t="s">
        <v>324</v>
      </c>
    </row>
    <row r="21" spans="1:17" s="56" customFormat="1" ht="15" customHeight="1">
      <c r="A21" s="56" t="s">
        <v>345</v>
      </c>
      <c r="B21" s="69" t="s">
        <v>346</v>
      </c>
      <c r="G21" s="16" t="s">
        <v>347</v>
      </c>
      <c r="H21" s="126">
        <v>0</v>
      </c>
      <c r="I21" s="21">
        <f>'Country equity risk premiums'!B185</f>
        <v>0.12393055515219112</v>
      </c>
      <c r="J21" s="60" t="e">
        <f t="shared" ref="J21:J31" si="2">H21/$H$32</f>
        <v>#DIV/0!</v>
      </c>
      <c r="K21" s="324" t="e">
        <f t="shared" ref="K21:K31" si="3">I21*J21</f>
        <v>#DIV/0!</v>
      </c>
    </row>
    <row r="22" spans="1:17" s="56" customFormat="1" ht="15" customHeight="1">
      <c r="A22" s="56" t="s">
        <v>348</v>
      </c>
      <c r="B22" s="325">
        <v>0.04</v>
      </c>
      <c r="G22" s="16" t="s">
        <v>349</v>
      </c>
      <c r="H22" s="126">
        <v>0</v>
      </c>
      <c r="I22" s="21">
        <f>'Country equity risk premiums'!B186</f>
        <v>6.7548639425947937E-2</v>
      </c>
      <c r="J22" s="60" t="e">
        <f t="shared" si="2"/>
        <v>#DIV/0!</v>
      </c>
      <c r="K22" s="324" t="e">
        <f t="shared" si="3"/>
        <v>#DIV/0!</v>
      </c>
    </row>
    <row r="23" spans="1:17" s="56" customFormat="1" ht="15" customHeight="1">
      <c r="A23" s="56" t="s">
        <v>350</v>
      </c>
      <c r="B23" s="69" t="s">
        <v>351</v>
      </c>
      <c r="G23" s="16" t="s">
        <v>352</v>
      </c>
      <c r="H23" s="126">
        <v>0</v>
      </c>
      <c r="I23" s="21">
        <f>'Country equity risk premiums'!B187</f>
        <v>5.2048399092075065E-2</v>
      </c>
      <c r="J23" s="60" t="e">
        <f t="shared" si="2"/>
        <v>#DIV/0!</v>
      </c>
      <c r="K23" s="324" t="e">
        <f t="shared" si="3"/>
        <v>#DIV/0!</v>
      </c>
    </row>
    <row r="24" spans="1:17" s="56" customFormat="1" ht="15" customHeight="1">
      <c r="A24" s="56" t="s">
        <v>353</v>
      </c>
      <c r="B24" s="69">
        <v>1</v>
      </c>
      <c r="G24" s="16" t="s">
        <v>354</v>
      </c>
      <c r="H24" s="126">
        <v>0</v>
      </c>
      <c r="I24" s="21">
        <f>'Country equity risk premiums'!B188</f>
        <v>0.13336240608476521</v>
      </c>
      <c r="J24" s="60" t="e">
        <f t="shared" si="2"/>
        <v>#DIV/0!</v>
      </c>
      <c r="K24" s="324" t="e">
        <f t="shared" si="3"/>
        <v>#DIV/0!</v>
      </c>
    </row>
    <row r="25" spans="1:17" s="56" customFormat="1" ht="15" customHeight="1">
      <c r="A25" s="56" t="s">
        <v>252</v>
      </c>
      <c r="B25" s="128">
        <f>IF(B21="Direct Input",B22,IF(B21="Synthetic Rating",'Synthetic rating'!D13,B12+VLOOKUP('Cost of capital worksheet'!B23,'Synthetic rating'!G39:H53,2)))</f>
        <v>1.5599999999999999E-2</v>
      </c>
      <c r="G25" s="16" t="s">
        <v>355</v>
      </c>
      <c r="H25" s="126">
        <v>0</v>
      </c>
      <c r="I25" s="21">
        <f>'Country equity risk premiums'!B189</f>
        <v>0.10667565534475423</v>
      </c>
      <c r="J25" s="60" t="e">
        <f t="shared" si="2"/>
        <v>#DIV/0!</v>
      </c>
      <c r="K25" s="324" t="e">
        <f t="shared" si="3"/>
        <v>#DIV/0!</v>
      </c>
    </row>
    <row r="26" spans="1:17" s="56" customFormat="1" ht="15" customHeight="1">
      <c r="A26" s="56" t="s">
        <v>356</v>
      </c>
      <c r="B26" s="130">
        <f>'Input sheet'!B21</f>
        <v>0.25</v>
      </c>
      <c r="G26" s="16" t="s">
        <v>357</v>
      </c>
      <c r="H26" s="126">
        <v>0</v>
      </c>
      <c r="I26" s="21">
        <f>'Country equity risk premiums'!B190</f>
        <v>8.386283221816862E-2</v>
      </c>
      <c r="J26" s="60" t="e">
        <f t="shared" si="2"/>
        <v>#DIV/0!</v>
      </c>
      <c r="K26" s="324" t="e">
        <f t="shared" si="3"/>
        <v>#DIV/0!</v>
      </c>
    </row>
    <row r="27" spans="1:17" s="56" customFormat="1" ht="15" customHeight="1">
      <c r="G27" s="16" t="s">
        <v>358</v>
      </c>
      <c r="H27" s="126">
        <v>0</v>
      </c>
      <c r="I27" s="21">
        <f>'Country equity risk premiums'!B191</f>
        <v>7.6737844888540324E-2</v>
      </c>
      <c r="J27" s="60" t="e">
        <f t="shared" si="2"/>
        <v>#DIV/0!</v>
      </c>
      <c r="K27" s="324" t="e">
        <f t="shared" si="3"/>
        <v>#DIV/0!</v>
      </c>
    </row>
    <row r="28" spans="1:17" s="56" customFormat="1" ht="15" customHeight="1">
      <c r="A28" s="56" t="s">
        <v>359</v>
      </c>
      <c r="B28" s="55">
        <v>0</v>
      </c>
      <c r="G28" s="16" t="s">
        <v>360</v>
      </c>
      <c r="H28" s="126">
        <v>0</v>
      </c>
      <c r="I28" s="21">
        <f>'Country equity risk premiums'!B192</f>
        <v>5.1999999999999998E-2</v>
      </c>
      <c r="J28" s="60" t="e">
        <f t="shared" si="2"/>
        <v>#DIV/0!</v>
      </c>
      <c r="K28" s="324" t="e">
        <f t="shared" si="3"/>
        <v>#DIV/0!</v>
      </c>
    </row>
    <row r="29" spans="1:17" s="56" customFormat="1" ht="15" customHeight="1">
      <c r="A29" s="56" t="s">
        <v>361</v>
      </c>
      <c r="B29" s="55">
        <v>0</v>
      </c>
      <c r="G29" s="16" t="s">
        <v>362</v>
      </c>
      <c r="H29" s="126">
        <v>0</v>
      </c>
      <c r="I29" s="21">
        <f>'Country equity risk premiums'!B193</f>
        <v>6.4080333576250564E-2</v>
      </c>
      <c r="J29" s="60" t="e">
        <f t="shared" si="2"/>
        <v>#DIV/0!</v>
      </c>
      <c r="K29" s="324" t="e">
        <f t="shared" si="3"/>
        <v>#DIV/0!</v>
      </c>
    </row>
    <row r="30" spans="1:17" s="56" customFormat="1" ht="15" customHeight="1">
      <c r="A30" s="56" t="s">
        <v>363</v>
      </c>
      <c r="B30" s="55">
        <v>0</v>
      </c>
      <c r="G30" s="126"/>
      <c r="H30" s="126"/>
      <c r="I30" s="188"/>
      <c r="J30" s="60" t="e">
        <f t="shared" si="2"/>
        <v>#DIV/0!</v>
      </c>
      <c r="K30" s="324" t="e">
        <f t="shared" si="3"/>
        <v>#DIV/0!</v>
      </c>
    </row>
    <row r="31" spans="1:17" s="56" customFormat="1" ht="15" customHeight="1">
      <c r="A31" s="56" t="s">
        <v>364</v>
      </c>
      <c r="B31" s="55">
        <v>0</v>
      </c>
      <c r="G31" s="126"/>
      <c r="H31" s="126"/>
      <c r="I31" s="188"/>
      <c r="J31" s="60" t="e">
        <f t="shared" si="2"/>
        <v>#DIV/0!</v>
      </c>
      <c r="K31" s="324" t="e">
        <f t="shared" si="3"/>
        <v>#DIV/0!</v>
      </c>
    </row>
    <row r="32" spans="1:17" s="56" customFormat="1" ht="15" customHeight="1">
      <c r="G32" s="90" t="s">
        <v>340</v>
      </c>
      <c r="H32" s="90">
        <f>SUM(H21:H31)</f>
        <v>0</v>
      </c>
      <c r="I32" s="62"/>
      <c r="J32" s="60" t="e">
        <f>SUM(J21:J31)</f>
        <v>#DIV/0!</v>
      </c>
      <c r="K32" s="326" t="e">
        <f>SUM(K21:K31)</f>
        <v>#DIV/0!</v>
      </c>
    </row>
    <row r="33" spans="1:11" s="56" customFormat="1" ht="15" customHeight="1">
      <c r="A33" s="56" t="s">
        <v>365</v>
      </c>
      <c r="B33" s="323">
        <f>IF('Input sheet'!B14="Yes",'Operating lease converter'!F33,0)</f>
        <v>0</v>
      </c>
    </row>
    <row r="34" spans="1:11" s="56" customFormat="1" ht="15" customHeight="1">
      <c r="G34" s="53" t="s">
        <v>366</v>
      </c>
    </row>
    <row r="35" spans="1:11" s="56" customFormat="1" ht="15" customHeight="1">
      <c r="A35" s="54" t="s">
        <v>367</v>
      </c>
      <c r="G35" s="16" t="s">
        <v>368</v>
      </c>
      <c r="H35" s="16" t="s">
        <v>15</v>
      </c>
      <c r="I35" s="16" t="s">
        <v>369</v>
      </c>
      <c r="J35" s="16" t="s">
        <v>370</v>
      </c>
      <c r="K35" s="16" t="s">
        <v>371</v>
      </c>
    </row>
    <row r="36" spans="1:11" s="56" customFormat="1" ht="15" customHeight="1">
      <c r="A36" s="56" t="s">
        <v>372</v>
      </c>
      <c r="B36" s="55">
        <v>0</v>
      </c>
      <c r="G36" s="126" t="s">
        <v>373</v>
      </c>
      <c r="H36" s="93">
        <v>84</v>
      </c>
      <c r="I36" s="94">
        <f>IF(G36=0,,VLOOKUP(G36,'Industry Average Beta (US)'!$A$2:$S$95,15))</f>
        <v>1.93894991479811</v>
      </c>
      <c r="J36" s="95">
        <f t="shared" ref="J36:J47" si="4">H36*I36</f>
        <v>162.87179284304125</v>
      </c>
      <c r="K36" s="94">
        <f>IF(I36=0,0,VLOOKUP(G36,'Industry Average Beta (US)'!$A$2:$S$95,7))</f>
        <v>0.93495314294485965</v>
      </c>
    </row>
    <row r="37" spans="1:11" s="56" customFormat="1" ht="15" customHeight="1">
      <c r="A37" s="56" t="s">
        <v>374</v>
      </c>
      <c r="B37" s="55">
        <v>70</v>
      </c>
      <c r="G37" s="126" t="s">
        <v>375</v>
      </c>
      <c r="H37" s="93">
        <v>16</v>
      </c>
      <c r="I37" s="94">
        <f>IF(G37=0,,VLOOKUP(G37,'Industry Average Beta (US)'!$A$2:$S$95,15))</f>
        <v>1.281841587578139</v>
      </c>
      <c r="J37" s="95">
        <f t="shared" si="4"/>
        <v>20.509465401250225</v>
      </c>
      <c r="K37" s="94">
        <f>IF(I37=0,0,VLOOKUP(G37,'Industry Average Beta (US)'!$A$2:$S$95,7))</f>
        <v>0.95286626462920188</v>
      </c>
    </row>
    <row r="38" spans="1:11" s="56" customFormat="1" ht="15" customHeight="1">
      <c r="A38" s="56" t="s">
        <v>376</v>
      </c>
      <c r="B38" s="55">
        <v>5</v>
      </c>
      <c r="G38" s="126"/>
      <c r="H38" s="93"/>
      <c r="I38" s="94">
        <f>IF(G38=0,,VLOOKUP(G38,'Industry Average Beta (US)'!$A$2:$S$95,15))</f>
        <v>0</v>
      </c>
      <c r="J38" s="95">
        <f t="shared" si="4"/>
        <v>0</v>
      </c>
      <c r="K38" s="94">
        <f>IF(I38=0,0,VLOOKUP(G38,'Industry Average Beta (US)'!$A$2:$S$95,7))</f>
        <v>0</v>
      </c>
    </row>
    <row r="39" spans="1:11" s="56" customFormat="1" ht="15" customHeight="1">
      <c r="G39" s="126"/>
      <c r="H39" s="93"/>
      <c r="I39" s="94">
        <f>IF(G39=0,,VLOOKUP(G39,'Industry Average Beta (US)'!$A$2:$S$95,15))</f>
        <v>0</v>
      </c>
      <c r="J39" s="95">
        <f t="shared" si="4"/>
        <v>0</v>
      </c>
      <c r="K39" s="94">
        <f>IF(I39=0,0,VLOOKUP(G39,'Industry Average Beta (US)'!$A$2:$S$95,7))</f>
        <v>0</v>
      </c>
    </row>
    <row r="40" spans="1:11" s="57" customFormat="1" ht="15" customHeight="1">
      <c r="A40" s="12" t="s">
        <v>251</v>
      </c>
      <c r="B40" s="56"/>
      <c r="C40" s="56"/>
      <c r="D40" s="56"/>
      <c r="E40" s="56"/>
      <c r="F40" s="56"/>
      <c r="G40" s="126"/>
      <c r="H40" s="93"/>
      <c r="I40" s="94">
        <f>IF(G40=0,,VLOOKUP(G40,'Industry Average Beta (US)'!$A$2:$S$95,15))</f>
        <v>0</v>
      </c>
      <c r="J40" s="95">
        <f t="shared" si="4"/>
        <v>0</v>
      </c>
      <c r="K40" s="94">
        <f>IF(I40=0,0,VLOOKUP(G40,'Industry Average Beta (US)'!$A$2:$S$95,7))</f>
        <v>0</v>
      </c>
    </row>
    <row r="41" spans="1:11" s="56" customFormat="1" ht="15" customHeight="1">
      <c r="A41" s="16" t="s">
        <v>377</v>
      </c>
      <c r="B41" s="16"/>
      <c r="C41" s="327">
        <f>B19*(1-(1+B25)^(-B20))/B25+B18/(1+B25)^B20</f>
        <v>16763.486602266592</v>
      </c>
      <c r="G41" s="126"/>
      <c r="H41" s="93"/>
      <c r="I41" s="94">
        <f>IF(G41=0,,VLOOKUP(G41,'Industry Average Beta (US)'!$A$2:$S$95,15))</f>
        <v>0</v>
      </c>
      <c r="J41" s="95">
        <f t="shared" si="4"/>
        <v>0</v>
      </c>
      <c r="K41" s="94">
        <f>IF(I41=0,0,VLOOKUP(G41,'Industry Average Beta (US)'!$A$2:$S$95,7))</f>
        <v>0</v>
      </c>
    </row>
    <row r="42" spans="1:11" s="56" customFormat="1" ht="15" customHeight="1">
      <c r="A42" s="16" t="s">
        <v>378</v>
      </c>
      <c r="B42" s="16"/>
      <c r="C42" s="327">
        <f>B29*(1-(1+B25)^(-B30))/B25+B28/(1+B25)^B30</f>
        <v>0</v>
      </c>
      <c r="G42" s="126"/>
      <c r="H42" s="93"/>
      <c r="I42" s="94">
        <f>IF(G42=0,,VLOOKUP(G42,'Industry Average Beta (US)'!$A$2:$S$95,15))</f>
        <v>0</v>
      </c>
      <c r="J42" s="95">
        <f t="shared" si="4"/>
        <v>0</v>
      </c>
      <c r="K42" s="94">
        <f>IF(I42=0,0,VLOOKUP(G42,'Industry Average Beta (US)'!$A$2:$S$95,7))</f>
        <v>0</v>
      </c>
    </row>
    <row r="43" spans="1:11" s="56" customFormat="1" ht="15" customHeight="1">
      <c r="A43" s="16" t="s">
        <v>379</v>
      </c>
      <c r="B43" s="16"/>
      <c r="C43" s="327">
        <f>B33</f>
        <v>0</v>
      </c>
      <c r="G43" s="126"/>
      <c r="H43" s="93"/>
      <c r="I43" s="94">
        <f>IF(G43=0,,VLOOKUP(G43,'Industry Average Beta (US)'!$A$2:$S$95,15))</f>
        <v>0</v>
      </c>
      <c r="J43" s="95">
        <f t="shared" si="4"/>
        <v>0</v>
      </c>
      <c r="K43" s="94">
        <f>IF(I43=0,0,VLOOKUP(G43,'Industry Average Beta (US)'!$A$2:$S$95,7))</f>
        <v>0</v>
      </c>
    </row>
    <row r="44" spans="1:11" ht="14" customHeight="1">
      <c r="A44" s="16" t="s">
        <v>380</v>
      </c>
      <c r="B44" s="16"/>
      <c r="C44" s="327">
        <f>B31-C42</f>
        <v>0</v>
      </c>
      <c r="D44" s="56"/>
      <c r="E44" s="56"/>
      <c r="F44" s="56"/>
      <c r="G44" s="126"/>
      <c r="H44" s="93"/>
      <c r="I44" s="94">
        <f>IF(G44=0,,VLOOKUP(G44,'Industry Average Beta (US)'!$A$2:$S$95,15))</f>
        <v>0</v>
      </c>
      <c r="J44" s="95">
        <f t="shared" si="4"/>
        <v>0</v>
      </c>
      <c r="K44" s="94">
        <f>IF(I44=0,0,VLOOKUP(G44,'Industry Average Beta (US)'!$A$2:$S$95,7))</f>
        <v>0</v>
      </c>
    </row>
    <row r="45" spans="1:11" ht="14" customHeight="1">
      <c r="A45" s="16" t="s">
        <v>381</v>
      </c>
      <c r="B45" s="16"/>
      <c r="C45" s="65">
        <f>IF(B9="Direct Input",B10,B11*(1+(1-B26)*(C48/B48)))</f>
        <v>1.3313073187997644</v>
      </c>
      <c r="D45" s="56"/>
      <c r="E45" s="56"/>
      <c r="F45" s="56"/>
      <c r="G45" s="126"/>
      <c r="H45" s="93"/>
      <c r="I45" s="94">
        <f>IF(G45=0,,VLOOKUP(G45,'Industry Average Beta (US)'!$A$2:$S$95,15))</f>
        <v>0</v>
      </c>
      <c r="J45" s="95">
        <f t="shared" si="4"/>
        <v>0</v>
      </c>
      <c r="K45" s="94">
        <f>IF(I45=0,0,VLOOKUP(G45,'Industry Average Beta (US)'!$A$2:$S$95,7))</f>
        <v>0</v>
      </c>
    </row>
    <row r="46" spans="1:11" ht="14" customHeight="1">
      <c r="A46" s="56"/>
      <c r="B46" s="56"/>
      <c r="C46" s="65"/>
      <c r="D46" s="56"/>
      <c r="E46" s="56"/>
      <c r="F46" s="56"/>
      <c r="G46" s="126"/>
      <c r="H46" s="93"/>
      <c r="I46" s="94">
        <f>IF(G46=0,,VLOOKUP(G46,'Industry Average Beta (US)'!$A$2:$S$95,15))</f>
        <v>0</v>
      </c>
      <c r="J46" s="95">
        <f t="shared" si="4"/>
        <v>0</v>
      </c>
      <c r="K46" s="94">
        <f>IF(I46=0,0,VLOOKUP(G46,'Industry Average Beta (US)'!$A$2:$S$95,7))</f>
        <v>0</v>
      </c>
    </row>
    <row r="47" spans="1:11" ht="14" customHeight="1">
      <c r="A47" s="57"/>
      <c r="B47" s="58" t="s">
        <v>325</v>
      </c>
      <c r="C47" s="58" t="s">
        <v>382</v>
      </c>
      <c r="D47" s="58" t="s">
        <v>367</v>
      </c>
      <c r="E47" s="58" t="s">
        <v>383</v>
      </c>
      <c r="F47" s="57"/>
      <c r="G47" s="126"/>
      <c r="H47" s="93"/>
      <c r="I47" s="94">
        <f>IF(G47=0,,VLOOKUP(G47,'Industry Average Beta (US)'!$A$2:$S$95,15))</f>
        <v>0</v>
      </c>
      <c r="J47" s="95">
        <f t="shared" si="4"/>
        <v>0</v>
      </c>
      <c r="K47" s="94">
        <f>IF(I47=0,0,VLOOKUP(G47,'Industry Average Beta (US)'!$A$2:$S$95,7))</f>
        <v>0</v>
      </c>
    </row>
    <row r="48" spans="1:11" ht="14" customHeight="1">
      <c r="A48" s="16" t="s">
        <v>384</v>
      </c>
      <c r="B48" s="327">
        <f>B6*B7</f>
        <v>164704.85459999999</v>
      </c>
      <c r="C48" s="327">
        <f>C41+C42+C43</f>
        <v>16763.486602266592</v>
      </c>
      <c r="D48" s="327">
        <f>B36*B37</f>
        <v>0</v>
      </c>
      <c r="E48" s="323">
        <f>SUM(B48:D48)</f>
        <v>181468.34120226657</v>
      </c>
      <c r="F48" s="56"/>
      <c r="G48" s="96" t="s">
        <v>36</v>
      </c>
      <c r="H48" s="97">
        <f>SUM(H36:H47)</f>
        <v>100</v>
      </c>
      <c r="I48" s="98"/>
      <c r="J48" s="95">
        <f>SUM(J36:J47)</f>
        <v>183.38125824429147</v>
      </c>
      <c r="K48" s="98">
        <f>K36*(J36/J48)+K37*J37/J48+K38*J38/J48+K39*J39/J48+K40*J40/J48+K41*J41/J48+K42*J42/J48+K43*J43/J48+K44*J44/J48+K45*J45/J48+K46*J46/J48+K47*J47/J48</f>
        <v>0.93695655677749889</v>
      </c>
    </row>
    <row r="49" spans="1:11" ht="15" customHeight="1" thickBot="1">
      <c r="A49" s="16" t="s">
        <v>385</v>
      </c>
      <c r="B49" s="60">
        <f>B48/$E$48</f>
        <v>0.90762307909354933</v>
      </c>
      <c r="C49" s="60">
        <f>C48/$E$48</f>
        <v>9.2376920906450721E-2</v>
      </c>
      <c r="D49" s="60">
        <f>D48/$E$48</f>
        <v>0</v>
      </c>
      <c r="E49" s="61">
        <f>SUM(B49:D49)</f>
        <v>1</v>
      </c>
      <c r="F49" s="56"/>
    </row>
    <row r="50" spans="1:11" ht="20" customHeight="1" thickBot="1">
      <c r="A50" s="16" t="s">
        <v>386</v>
      </c>
      <c r="B50" s="62">
        <f>B12+C45*B15</f>
        <v>9.5548164028329274E-2</v>
      </c>
      <c r="C50" s="60">
        <f>B25*(1-B26)</f>
        <v>1.1699999999999999E-2</v>
      </c>
      <c r="D50" s="63">
        <f>B38/B37</f>
        <v>7.1428571428571425E-2</v>
      </c>
      <c r="E50" s="64">
        <f>B49*B50+C49*C50+D49*D50</f>
        <v>8.7802528811733199E-2</v>
      </c>
      <c r="F50" s="56"/>
      <c r="G50" s="134" t="s">
        <v>387</v>
      </c>
    </row>
    <row r="51" spans="1:11" ht="14" customHeight="1">
      <c r="G51" s="16" t="s">
        <v>368</v>
      </c>
      <c r="H51" s="16" t="s">
        <v>15</v>
      </c>
      <c r="I51" s="16" t="s">
        <v>369</v>
      </c>
      <c r="J51" s="16" t="s">
        <v>370</v>
      </c>
      <c r="K51" s="16" t="s">
        <v>371</v>
      </c>
    </row>
    <row r="52" spans="1:11" ht="14" customHeight="1">
      <c r="G52" s="126" t="s">
        <v>388</v>
      </c>
      <c r="H52" s="93">
        <f>25471+10067</f>
        <v>35538</v>
      </c>
      <c r="I52" s="94">
        <f>IF(G52=0,,VLOOKUP(G52,'Industry Average Beta (Global)'!$A$2:$O$95,15))</f>
        <v>1.8377894383671141</v>
      </c>
      <c r="J52" s="95">
        <f t="shared" ref="J52:J63" si="5">H52*I52</f>
        <v>65311.361060690499</v>
      </c>
      <c r="K52" s="94">
        <f>IF(G52=0,,VLOOKUP(G52,'Industry Average Beta (Global)'!$A$2:$O$95,7))</f>
        <v>1.349307103512327</v>
      </c>
    </row>
    <row r="53" spans="1:11" ht="14" customHeight="1">
      <c r="G53" s="126"/>
      <c r="H53" s="93"/>
      <c r="I53" s="94">
        <f>IF(G53=0,,VLOOKUP(G53,'Industry Average Beta (Global)'!$A$2:$O$95,15))</f>
        <v>0</v>
      </c>
      <c r="J53" s="95">
        <f t="shared" si="5"/>
        <v>0</v>
      </c>
      <c r="K53" s="94">
        <f>IF(G53=0,,VLOOKUP(G53,'Industry Average Beta (Global)'!$A$2:$O$95,7))</f>
        <v>0</v>
      </c>
    </row>
    <row r="54" spans="1:11" ht="14" customHeight="1">
      <c r="G54" s="126"/>
      <c r="H54" s="93"/>
      <c r="I54" s="94">
        <f>IF(G54=0,,VLOOKUP(G54,'Industry Average Beta (Global)'!$A$2:$O$95,15))</f>
        <v>0</v>
      </c>
      <c r="J54" s="95">
        <f t="shared" si="5"/>
        <v>0</v>
      </c>
      <c r="K54" s="94">
        <f>IF(G54=0,,VLOOKUP(G54,'Industry Average Beta (Global)'!$A$2:$O$95,7))</f>
        <v>0</v>
      </c>
    </row>
    <row r="55" spans="1:11" ht="14" customHeight="1">
      <c r="G55" s="126"/>
      <c r="H55" s="93"/>
      <c r="I55" s="94">
        <f>IF(G55=0,,VLOOKUP(G55,'Industry Average Beta (Global)'!$A$2:$O$95,15))</f>
        <v>0</v>
      </c>
      <c r="J55" s="95">
        <f t="shared" si="5"/>
        <v>0</v>
      </c>
      <c r="K55" s="94">
        <f>IF(G55=0,,VLOOKUP(G55,'Industry Average Beta (Global)'!$A$2:$O$95,7))</f>
        <v>0</v>
      </c>
    </row>
    <row r="56" spans="1:11" ht="14" customHeight="1">
      <c r="G56" s="126"/>
      <c r="H56" s="93"/>
      <c r="I56" s="94">
        <f>IF(G56=0,,VLOOKUP(G56,'Industry Average Beta (Global)'!$A$2:$O$95,15))</f>
        <v>0</v>
      </c>
      <c r="J56" s="95">
        <f t="shared" si="5"/>
        <v>0</v>
      </c>
      <c r="K56" s="94">
        <f>IF(G56=0,,VLOOKUP(G56,'Industry Average Beta (Global)'!$A$2:$O$95,7))</f>
        <v>0</v>
      </c>
    </row>
    <row r="57" spans="1:11" ht="14" customHeight="1">
      <c r="G57" s="126"/>
      <c r="H57" s="93"/>
      <c r="I57" s="94">
        <f>IF(G57=0,,VLOOKUP(G57,'Industry Average Beta (Global)'!$A$2:$O$95,15))</f>
        <v>0</v>
      </c>
      <c r="J57" s="95">
        <f t="shared" si="5"/>
        <v>0</v>
      </c>
      <c r="K57" s="94">
        <f>IF(G57=0,,VLOOKUP(G57,'Industry Average Beta (Global)'!$A$2:$O$95,7))</f>
        <v>0</v>
      </c>
    </row>
    <row r="58" spans="1:11" ht="14" customHeight="1">
      <c r="G58" s="126"/>
      <c r="H58" s="93"/>
      <c r="I58" s="94">
        <f>IF(G58=0,,VLOOKUP(G58,'Industry Average Beta (Global)'!$A$2:$O$95,15))</f>
        <v>0</v>
      </c>
      <c r="J58" s="95">
        <f t="shared" si="5"/>
        <v>0</v>
      </c>
      <c r="K58" s="94">
        <f>IF(G58=0,,VLOOKUP(G58,'Industry Average Beta (Global)'!$A$2:$O$95,7))</f>
        <v>0</v>
      </c>
    </row>
    <row r="59" spans="1:11" ht="14" customHeight="1">
      <c r="G59" s="126"/>
      <c r="H59" s="93"/>
      <c r="I59" s="94">
        <f>IF(G59=0,,VLOOKUP(G59,'Industry Average Beta (Global)'!$A$2:$O$95,15))</f>
        <v>0</v>
      </c>
      <c r="J59" s="95">
        <f t="shared" si="5"/>
        <v>0</v>
      </c>
      <c r="K59" s="94">
        <f>IF(G59=0,,VLOOKUP(G59,'Industry Average Beta (Global)'!$A$2:$O$95,7))</f>
        <v>0</v>
      </c>
    </row>
    <row r="60" spans="1:11" ht="14" customHeight="1">
      <c r="G60" s="126"/>
      <c r="H60" s="93"/>
      <c r="I60" s="94">
        <f>IF(G60=0,,VLOOKUP(G60,'Industry Average Beta (Global)'!$A$2:$O$95,15))</f>
        <v>0</v>
      </c>
      <c r="J60" s="95">
        <f t="shared" si="5"/>
        <v>0</v>
      </c>
      <c r="K60" s="94">
        <f>IF(G60=0,,VLOOKUP(G60,'Industry Average Beta (Global)'!$A$2:$O$95,7))</f>
        <v>0</v>
      </c>
    </row>
    <row r="61" spans="1:11" ht="14" customHeight="1">
      <c r="G61" s="126"/>
      <c r="H61" s="93"/>
      <c r="I61" s="94">
        <f>IF(G61=0,,VLOOKUP(G61,'Industry Average Beta (Global)'!$A$2:$O$95,15))</f>
        <v>0</v>
      </c>
      <c r="J61" s="95">
        <f t="shared" si="5"/>
        <v>0</v>
      </c>
      <c r="K61" s="94">
        <f>IF(G61=0,,VLOOKUP(G61,'Industry Average Beta (Global)'!$A$2:$O$95,7))</f>
        <v>0</v>
      </c>
    </row>
    <row r="62" spans="1:11" ht="14" customHeight="1">
      <c r="G62" s="126"/>
      <c r="H62" s="93"/>
      <c r="I62" s="94">
        <f>IF(G62=0,,VLOOKUP(G62,'Industry Average Beta (Global)'!$A$2:$O$95,15))</f>
        <v>0</v>
      </c>
      <c r="J62" s="95">
        <f t="shared" si="5"/>
        <v>0</v>
      </c>
      <c r="K62" s="94">
        <f>IF(G62=0,,VLOOKUP(G62,'Industry Average Beta (Global)'!$A$2:$O$95,7))</f>
        <v>0</v>
      </c>
    </row>
    <row r="63" spans="1:11" ht="14" customHeight="1">
      <c r="G63" s="126"/>
      <c r="H63" s="93"/>
      <c r="I63" s="94">
        <f>IF(G63=0,,VLOOKUP(G63,'Industry Average Beta (Global)'!$A$2:$O$95,15))</f>
        <v>0</v>
      </c>
      <c r="J63" s="95">
        <f t="shared" si="5"/>
        <v>0</v>
      </c>
      <c r="K63" s="94">
        <f>IF(G63=0,,VLOOKUP(G63,'Industry Average Beta (Global)'!$A$2:$O$95,7))</f>
        <v>0</v>
      </c>
    </row>
    <row r="64" spans="1:11" ht="14" customHeight="1">
      <c r="G64" s="96" t="s">
        <v>36</v>
      </c>
      <c r="H64" s="97">
        <f>SUM(H52:H63)</f>
        <v>35538</v>
      </c>
      <c r="I64" s="98"/>
      <c r="J64" s="95">
        <f>SUM(J52:J63)</f>
        <v>65311.361060690499</v>
      </c>
      <c r="K64" s="98">
        <f>K52*(J52/J64)+K53*J53/J64+K54*J54/J64+K55*J55/J64+K56*J56/J64+K57*J57/J64+K58*J58/J64+K59*J59/J64+K60*J60/J64+K61*J61/J64+K62*J62/J64+K63*J63/J64</f>
        <v>1.349307103512327</v>
      </c>
    </row>
  </sheetData>
  <mergeCells count="2">
    <mergeCell ref="M5:Q19"/>
    <mergeCell ref="A1:K2"/>
  </mergeCells>
  <pageMargins left="0.75" right="0.75" top="1" bottom="1" header="0.5" footer="0.5"/>
  <pageSetup orientation="portrait" horizontalDpi="4294967292" verticalDpi="4294967292"/>
  <drawing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95"/>
  <sheetViews>
    <sheetView workbookViewId="0">
      <selection activeCell="G15" sqref="G15"/>
    </sheetView>
  </sheetViews>
  <sheetFormatPr baseColWidth="10" defaultRowHeight="13"/>
  <cols>
    <col min="1" max="1" width="27.5" bestFit="1" customWidth="1"/>
    <col min="2" max="2" width="15" bestFit="1" customWidth="1"/>
    <col min="3" max="3" width="18.5" bestFit="1" customWidth="1"/>
    <col min="4" max="4" width="21" bestFit="1" customWidth="1"/>
    <col min="5" max="5" width="20" bestFit="1" customWidth="1"/>
    <col min="6" max="6" width="17.6640625" bestFit="1" customWidth="1"/>
    <col min="7" max="7" width="29.6640625" customWidth="1"/>
  </cols>
  <sheetData>
    <row r="1" spans="1:6">
      <c r="A1" t="s">
        <v>389</v>
      </c>
      <c r="B1" s="202">
        <v>5.1999999999999998E-2</v>
      </c>
      <c r="C1" t="s">
        <v>390</v>
      </c>
    </row>
    <row r="4" spans="1:6" ht="16" customHeight="1">
      <c r="A4" s="204" t="s">
        <v>321</v>
      </c>
      <c r="B4" s="34" t="s">
        <v>391</v>
      </c>
      <c r="C4" s="204" t="s">
        <v>392</v>
      </c>
      <c r="D4" s="30" t="s">
        <v>393</v>
      </c>
      <c r="E4" s="30" t="s">
        <v>394</v>
      </c>
      <c r="F4" s="199" t="s">
        <v>395</v>
      </c>
    </row>
    <row r="5" spans="1:6" ht="16" customHeight="1">
      <c r="A5" s="32" t="s">
        <v>396</v>
      </c>
      <c r="B5" s="34" t="s">
        <v>397</v>
      </c>
      <c r="C5" s="205">
        <v>5.8229604364363613E-3</v>
      </c>
      <c r="D5" s="205">
        <f t="shared" ref="D5:D36" si="0">$B$1+E5</f>
        <v>5.9290703655369197E-2</v>
      </c>
      <c r="E5" s="207">
        <v>7.2907036553691998E-3</v>
      </c>
      <c r="F5" s="207">
        <v>0.55000000000000004</v>
      </c>
    </row>
    <row r="6" spans="1:6" ht="16" customHeight="1">
      <c r="A6" s="32" t="s">
        <v>398</v>
      </c>
      <c r="B6" s="34" t="s">
        <v>399</v>
      </c>
      <c r="C6" s="205">
        <v>5.2830131959668077E-2</v>
      </c>
      <c r="D6" s="205">
        <f t="shared" si="0"/>
        <v>0.11814656589144057</v>
      </c>
      <c r="E6" s="207">
        <v>6.6146565891440565E-2</v>
      </c>
      <c r="F6" s="207">
        <v>0.15</v>
      </c>
    </row>
    <row r="7" spans="1:6" ht="16" customHeight="1">
      <c r="A7" s="206" t="s">
        <v>400</v>
      </c>
      <c r="B7" s="110" t="s">
        <v>188</v>
      </c>
      <c r="C7" s="159">
        <v>0.14080977055382479</v>
      </c>
      <c r="D7" s="205">
        <f t="shared" si="0"/>
        <v>0.2283024702116552</v>
      </c>
      <c r="E7" s="159">
        <v>0.17630247021165521</v>
      </c>
      <c r="F7" s="258">
        <v>0.26</v>
      </c>
    </row>
    <row r="8" spans="1:6" ht="16" customHeight="1">
      <c r="A8" s="32" t="s">
        <v>401</v>
      </c>
      <c r="B8" s="34" t="s">
        <v>402</v>
      </c>
      <c r="C8" s="205">
        <v>2.2338993674328591E-2</v>
      </c>
      <c r="D8" s="205">
        <f t="shared" si="0"/>
        <v>7.9969790386961837E-2</v>
      </c>
      <c r="E8" s="207">
        <v>2.7969790386961839E-2</v>
      </c>
      <c r="F8" s="207">
        <v>0.1</v>
      </c>
    </row>
    <row r="9" spans="1:6" ht="16" customHeight="1">
      <c r="A9" s="32" t="s">
        <v>403</v>
      </c>
      <c r="B9" s="34" t="s">
        <v>404</v>
      </c>
      <c r="C9" s="205">
        <v>7.6333717721283945E-2</v>
      </c>
      <c r="D9" s="205">
        <f t="shared" si="0"/>
        <v>0.14757449700947625</v>
      </c>
      <c r="E9" s="207">
        <v>9.5574497009476247E-2</v>
      </c>
      <c r="F9" s="207">
        <v>0.3</v>
      </c>
    </row>
    <row r="10" spans="1:6" ht="16" customHeight="1">
      <c r="A10" s="32" t="s">
        <v>405</v>
      </c>
      <c r="B10" s="34" t="s">
        <v>406</v>
      </c>
      <c r="C10" s="205">
        <v>0.14080977055382479</v>
      </c>
      <c r="D10" s="205">
        <f t="shared" si="0"/>
        <v>0.2283024702116552</v>
      </c>
      <c r="E10" s="207">
        <v>0.17630247021165521</v>
      </c>
      <c r="F10" s="207">
        <v>0.3</v>
      </c>
    </row>
    <row r="11" spans="1:6" ht="16" customHeight="1">
      <c r="A11" s="32" t="s">
        <v>407</v>
      </c>
      <c r="B11" s="34" t="s">
        <v>408</v>
      </c>
      <c r="C11" s="205">
        <v>4.2242931166147427E-2</v>
      </c>
      <c r="D11" s="205">
        <f t="shared" si="0"/>
        <v>0.10489074106349656</v>
      </c>
      <c r="E11" s="207">
        <v>5.2890741063496567E-2</v>
      </c>
      <c r="F11" s="207">
        <v>0.2</v>
      </c>
    </row>
    <row r="12" spans="1:6" ht="16" customHeight="1">
      <c r="A12" s="32" t="s">
        <v>409</v>
      </c>
      <c r="B12" s="34" t="s">
        <v>410</v>
      </c>
      <c r="C12" s="205">
        <v>1.8739345404531569E-2</v>
      </c>
      <c r="D12" s="205">
        <f t="shared" si="0"/>
        <v>7.5462809945460882E-2</v>
      </c>
      <c r="E12" s="207">
        <v>2.3462809945460881E-2</v>
      </c>
      <c r="F12" s="207">
        <v>0.25</v>
      </c>
    </row>
    <row r="13" spans="1:6" ht="16" customHeight="1">
      <c r="A13" s="32" t="s">
        <v>411</v>
      </c>
      <c r="B13" s="34" t="s">
        <v>412</v>
      </c>
      <c r="C13" s="205">
        <v>0</v>
      </c>
      <c r="D13" s="205">
        <f t="shared" si="0"/>
        <v>5.1999999999999998E-2</v>
      </c>
      <c r="E13" s="207">
        <v>0</v>
      </c>
      <c r="F13" s="207">
        <v>0.3</v>
      </c>
    </row>
    <row r="14" spans="1:6" ht="16" customHeight="1">
      <c r="A14" s="32" t="s">
        <v>413</v>
      </c>
      <c r="B14" s="34" t="s">
        <v>414</v>
      </c>
      <c r="C14" s="205">
        <v>4.6583683491490894E-3</v>
      </c>
      <c r="D14" s="205">
        <f t="shared" si="0"/>
        <v>5.783256292429536E-2</v>
      </c>
      <c r="E14" s="207">
        <v>5.8325629242953593E-3</v>
      </c>
      <c r="F14" s="207">
        <v>0.25</v>
      </c>
    </row>
    <row r="15" spans="1:6" ht="16" customHeight="1">
      <c r="A15" s="32" t="s">
        <v>415</v>
      </c>
      <c r="B15" s="34" t="s">
        <v>416</v>
      </c>
      <c r="C15" s="205">
        <v>3.5255378642423778E-2</v>
      </c>
      <c r="D15" s="205">
        <f t="shared" si="0"/>
        <v>9.6141896677053515E-2</v>
      </c>
      <c r="E15" s="207">
        <v>4.4141896677053517E-2</v>
      </c>
      <c r="F15" s="207">
        <v>0.2</v>
      </c>
    </row>
    <row r="16" spans="1:6" ht="16" customHeight="1">
      <c r="A16" s="32" t="s">
        <v>417</v>
      </c>
      <c r="B16" s="34" t="s">
        <v>416</v>
      </c>
      <c r="C16" s="205">
        <v>3.5255378642423778E-2</v>
      </c>
      <c r="D16" s="205">
        <f t="shared" si="0"/>
        <v>9.6141896677053515E-2</v>
      </c>
      <c r="E16" s="207">
        <v>4.4141896677053517E-2</v>
      </c>
      <c r="F16" s="207">
        <v>0</v>
      </c>
    </row>
    <row r="17" spans="1:6" ht="16" customHeight="1">
      <c r="A17" s="32" t="s">
        <v>418</v>
      </c>
      <c r="B17" s="34" t="s">
        <v>419</v>
      </c>
      <c r="C17" s="205">
        <v>6.4581924840476007E-2</v>
      </c>
      <c r="D17" s="205">
        <f t="shared" si="0"/>
        <v>0.1328605314504584</v>
      </c>
      <c r="E17" s="207">
        <v>8.0860531450458406E-2</v>
      </c>
      <c r="F17" s="207">
        <v>0</v>
      </c>
    </row>
    <row r="18" spans="1:6" ht="16" customHeight="1">
      <c r="A18" s="32" t="s">
        <v>420</v>
      </c>
      <c r="B18" s="34" t="s">
        <v>408</v>
      </c>
      <c r="C18" s="205">
        <v>4.2242931166147427E-2</v>
      </c>
      <c r="D18" s="205">
        <f t="shared" si="0"/>
        <v>0.10489074106349656</v>
      </c>
      <c r="E18" s="207">
        <v>5.2890741063496567E-2</v>
      </c>
      <c r="F18" s="207">
        <v>0.25</v>
      </c>
    </row>
    <row r="19" spans="1:6" ht="16" customHeight="1">
      <c r="A19" s="32" t="s">
        <v>421</v>
      </c>
      <c r="B19" s="34" t="s">
        <v>422</v>
      </c>
      <c r="C19" s="205">
        <v>8.7979638594156681E-2</v>
      </c>
      <c r="D19" s="205">
        <f t="shared" si="0"/>
        <v>0.16215590432021471</v>
      </c>
      <c r="E19" s="207">
        <v>0.1101559043202147</v>
      </c>
      <c r="F19" s="207">
        <v>5.5E-2</v>
      </c>
    </row>
    <row r="20" spans="1:6" ht="16" customHeight="1">
      <c r="A20" s="32" t="s">
        <v>423</v>
      </c>
      <c r="B20" s="34" t="s">
        <v>404</v>
      </c>
      <c r="C20" s="205">
        <v>7.6333717721283945E-2</v>
      </c>
      <c r="D20" s="205">
        <f t="shared" si="0"/>
        <v>0.14757449700947625</v>
      </c>
      <c r="E20" s="207">
        <v>9.5574497009476247E-2</v>
      </c>
      <c r="F20" s="207">
        <v>0.18</v>
      </c>
    </row>
    <row r="21" spans="1:6" ht="16" customHeight="1">
      <c r="A21" s="32" t="s">
        <v>424</v>
      </c>
      <c r="B21" s="34" t="s">
        <v>425</v>
      </c>
      <c r="C21" s="205">
        <v>7.0934245316588403E-3</v>
      </c>
      <c r="D21" s="205">
        <f t="shared" si="0"/>
        <v>6.0881402634722477E-2</v>
      </c>
      <c r="E21" s="207">
        <v>8.8814026347224795E-3</v>
      </c>
      <c r="F21" s="207">
        <v>0.28999999999999998</v>
      </c>
    </row>
    <row r="22" spans="1:6" ht="16" customHeight="1">
      <c r="A22" s="32" t="s">
        <v>426</v>
      </c>
      <c r="B22" s="34" t="s">
        <v>422</v>
      </c>
      <c r="C22" s="205">
        <v>8.7979638594156681E-2</v>
      </c>
      <c r="D22" s="205">
        <f t="shared" si="0"/>
        <v>0.16215590432021471</v>
      </c>
      <c r="E22" s="207">
        <v>0.1101559043202147</v>
      </c>
      <c r="F22" s="207">
        <v>0.3236</v>
      </c>
    </row>
    <row r="23" spans="1:6" ht="16" customHeight="1">
      <c r="A23" s="32" t="s">
        <v>427</v>
      </c>
      <c r="B23" s="34" t="s">
        <v>419</v>
      </c>
      <c r="C23" s="205">
        <v>6.4581924840476007E-2</v>
      </c>
      <c r="D23" s="205">
        <f t="shared" si="0"/>
        <v>0.1328605314504584</v>
      </c>
      <c r="E23" s="207">
        <v>8.0860531450458406E-2</v>
      </c>
      <c r="F23" s="207">
        <v>0.3</v>
      </c>
    </row>
    <row r="24" spans="1:6" ht="16" customHeight="1">
      <c r="A24" s="32" t="s">
        <v>428</v>
      </c>
      <c r="B24" s="34" t="s">
        <v>429</v>
      </c>
      <c r="C24" s="205">
        <v>9.9519687459094178E-3</v>
      </c>
      <c r="D24" s="205">
        <f t="shared" si="0"/>
        <v>6.4460475338267362E-2</v>
      </c>
      <c r="E24" s="207">
        <v>1.2460475338267361E-2</v>
      </c>
      <c r="F24" s="207">
        <v>0</v>
      </c>
    </row>
    <row r="25" spans="1:6" ht="16" customHeight="1">
      <c r="A25" s="32" t="s">
        <v>430</v>
      </c>
      <c r="B25" s="34" t="s">
        <v>399</v>
      </c>
      <c r="C25" s="205">
        <v>5.2830131959668077E-2</v>
      </c>
      <c r="D25" s="205">
        <f t="shared" si="0"/>
        <v>0.11814656589144057</v>
      </c>
      <c r="E25" s="207">
        <v>6.6146565891440565E-2</v>
      </c>
      <c r="F25" s="207">
        <v>0.25</v>
      </c>
    </row>
    <row r="26" spans="1:6" ht="16" customHeight="1">
      <c r="A26" s="32" t="s">
        <v>431</v>
      </c>
      <c r="B26" s="34" t="s">
        <v>404</v>
      </c>
      <c r="C26" s="205">
        <v>7.6333717721283945E-2</v>
      </c>
      <c r="D26" s="205">
        <f t="shared" si="0"/>
        <v>0.14757449700947625</v>
      </c>
      <c r="E26" s="207">
        <v>9.5574497009476247E-2</v>
      </c>
      <c r="F26" s="207">
        <v>0.1</v>
      </c>
    </row>
    <row r="27" spans="1:6" ht="16" customHeight="1">
      <c r="A27" s="32" t="s">
        <v>432</v>
      </c>
      <c r="B27" s="34" t="s">
        <v>429</v>
      </c>
      <c r="C27" s="205">
        <v>9.9519687459094178E-3</v>
      </c>
      <c r="D27" s="205">
        <f t="shared" si="0"/>
        <v>6.4460475338267362E-2</v>
      </c>
      <c r="E27" s="207">
        <v>1.2460475338267361E-2</v>
      </c>
      <c r="F27" s="207">
        <v>0.22</v>
      </c>
    </row>
    <row r="28" spans="1:6" ht="16" customHeight="1">
      <c r="A28" s="32" t="s">
        <v>433</v>
      </c>
      <c r="B28" s="34" t="s">
        <v>416</v>
      </c>
      <c r="C28" s="205">
        <v>3.5255378642423778E-2</v>
      </c>
      <c r="D28" s="205">
        <f t="shared" si="0"/>
        <v>9.6141896677053515E-2</v>
      </c>
      <c r="E28" s="207">
        <v>4.4141896677053517E-2</v>
      </c>
      <c r="F28" s="207">
        <v>0.34</v>
      </c>
    </row>
    <row r="29" spans="1:6" ht="16" customHeight="1">
      <c r="A29" s="206" t="s">
        <v>434</v>
      </c>
      <c r="B29" s="110" t="s">
        <v>188</v>
      </c>
      <c r="C29" s="159">
        <v>9.9519687459094161E-3</v>
      </c>
      <c r="D29" s="205">
        <f t="shared" si="0"/>
        <v>6.4460475338267362E-2</v>
      </c>
      <c r="E29" s="159">
        <v>1.2460475338267361E-2</v>
      </c>
      <c r="F29" s="159">
        <v>0.185</v>
      </c>
    </row>
    <row r="30" spans="1:6" ht="16" customHeight="1">
      <c r="A30" s="32" t="s">
        <v>435</v>
      </c>
      <c r="B30" s="34" t="s">
        <v>402</v>
      </c>
      <c r="C30" s="205">
        <v>2.2338993674328591E-2</v>
      </c>
      <c r="D30" s="205">
        <f t="shared" si="0"/>
        <v>7.9969790386961837E-2</v>
      </c>
      <c r="E30" s="207">
        <v>2.7969790386961839E-2</v>
      </c>
      <c r="F30" s="207">
        <v>0.1</v>
      </c>
    </row>
    <row r="31" spans="1:6" ht="16" customHeight="1">
      <c r="A31" s="32" t="s">
        <v>436</v>
      </c>
      <c r="B31" s="34" t="s">
        <v>419</v>
      </c>
      <c r="C31" s="205">
        <v>6.4581924840476007E-2</v>
      </c>
      <c r="D31" s="205">
        <f t="shared" si="0"/>
        <v>0.1328605314504584</v>
      </c>
      <c r="E31" s="207">
        <v>8.0860531450458406E-2</v>
      </c>
      <c r="F31" s="207">
        <v>0.28000000000000003</v>
      </c>
    </row>
    <row r="32" spans="1:6" ht="16" customHeight="1">
      <c r="A32" s="32" t="s">
        <v>437</v>
      </c>
      <c r="B32" s="34" t="s">
        <v>419</v>
      </c>
      <c r="C32" s="205">
        <v>6.4581924840476007E-2</v>
      </c>
      <c r="D32" s="205">
        <f t="shared" si="0"/>
        <v>0.1328605314504584</v>
      </c>
      <c r="E32" s="207">
        <v>8.0860531450458406E-2</v>
      </c>
      <c r="F32" s="207">
        <v>0.2</v>
      </c>
    </row>
    <row r="33" spans="1:6" ht="16" customHeight="1">
      <c r="A33" s="32" t="s">
        <v>438</v>
      </c>
      <c r="B33" s="34" t="s">
        <v>419</v>
      </c>
      <c r="C33" s="205">
        <v>6.4581924840476007E-2</v>
      </c>
      <c r="D33" s="205">
        <f t="shared" si="0"/>
        <v>0.1328605314504584</v>
      </c>
      <c r="E33" s="207">
        <v>8.0860531450458406E-2</v>
      </c>
      <c r="F33" s="207">
        <v>0.33</v>
      </c>
    </row>
    <row r="34" spans="1:6" ht="16" customHeight="1">
      <c r="A34" s="32" t="s">
        <v>439</v>
      </c>
      <c r="B34" s="34" t="s">
        <v>412</v>
      </c>
      <c r="C34" s="205">
        <v>0</v>
      </c>
      <c r="D34" s="205">
        <f t="shared" si="0"/>
        <v>5.1999999999999998E-2</v>
      </c>
      <c r="E34" s="207">
        <v>0</v>
      </c>
      <c r="F34" s="207">
        <v>0.26500000000000001</v>
      </c>
    </row>
    <row r="35" spans="1:6" ht="16" customHeight="1">
      <c r="A35" s="32" t="s">
        <v>440</v>
      </c>
      <c r="B35" s="34" t="s">
        <v>419</v>
      </c>
      <c r="C35" s="205">
        <v>6.4581924840476007E-2</v>
      </c>
      <c r="D35" s="205">
        <f t="shared" si="0"/>
        <v>0.1328605314504584</v>
      </c>
      <c r="E35" s="207">
        <v>8.0860531450458406E-2</v>
      </c>
      <c r="F35" s="207">
        <v>0</v>
      </c>
    </row>
    <row r="36" spans="1:6" ht="16" customHeight="1">
      <c r="A36" s="32" t="s">
        <v>441</v>
      </c>
      <c r="B36" s="34" t="s">
        <v>425</v>
      </c>
      <c r="C36" s="205">
        <v>7.0934245316588403E-3</v>
      </c>
      <c r="D36" s="205">
        <f t="shared" si="0"/>
        <v>6.0881402634722477E-2</v>
      </c>
      <c r="E36" s="207">
        <v>8.8814026347224795E-3</v>
      </c>
      <c r="F36" s="207">
        <v>0</v>
      </c>
    </row>
    <row r="37" spans="1:6" ht="16" customHeight="1">
      <c r="A37" s="32" t="s">
        <v>442</v>
      </c>
      <c r="B37" s="34" t="s">
        <v>443</v>
      </c>
      <c r="C37" s="205">
        <v>8.2580166189461131E-3</v>
      </c>
      <c r="D37" s="205">
        <f t="shared" ref="D37:D68" si="1">$B$1+E37</f>
        <v>6.2339543365796321E-2</v>
      </c>
      <c r="E37" s="207">
        <v>1.033954336579632E-2</v>
      </c>
      <c r="F37" s="207">
        <v>0.27</v>
      </c>
    </row>
    <row r="38" spans="1:6" ht="16" customHeight="1">
      <c r="A38" s="32" t="s">
        <v>444</v>
      </c>
      <c r="B38" s="34" t="s">
        <v>443</v>
      </c>
      <c r="C38" s="205">
        <v>8.2580166189461131E-3</v>
      </c>
      <c r="D38" s="205">
        <f t="shared" si="1"/>
        <v>6.2339543365796321E-2</v>
      </c>
      <c r="E38" s="207">
        <v>1.033954336579632E-2</v>
      </c>
      <c r="F38" s="207">
        <v>0.25</v>
      </c>
    </row>
    <row r="39" spans="1:6" ht="16" customHeight="1">
      <c r="A39" s="32" t="s">
        <v>445</v>
      </c>
      <c r="B39" s="34" t="s">
        <v>402</v>
      </c>
      <c r="C39" s="205">
        <v>2.2338993674328591E-2</v>
      </c>
      <c r="D39" s="205">
        <f t="shared" si="1"/>
        <v>7.9969790386961837E-2</v>
      </c>
      <c r="E39" s="207">
        <v>2.7969790386961839E-2</v>
      </c>
      <c r="F39" s="207">
        <v>0.33</v>
      </c>
    </row>
    <row r="40" spans="1:6" ht="16" customHeight="1">
      <c r="A40" s="32" t="s">
        <v>446</v>
      </c>
      <c r="B40" s="34" t="s">
        <v>422</v>
      </c>
      <c r="C40" s="205">
        <v>8.7979638594156681E-2</v>
      </c>
      <c r="D40" s="205">
        <f t="shared" si="1"/>
        <v>0.16215590432021471</v>
      </c>
      <c r="E40" s="207">
        <v>0.1101559043202147</v>
      </c>
      <c r="F40" s="207">
        <v>0.35</v>
      </c>
    </row>
    <row r="41" spans="1:6" ht="16" customHeight="1">
      <c r="A41" s="32" t="s">
        <v>447</v>
      </c>
      <c r="B41" s="34" t="s">
        <v>448</v>
      </c>
      <c r="C41" s="205">
        <v>0.10566026391933619</v>
      </c>
      <c r="D41" s="205">
        <f t="shared" si="1"/>
        <v>0.18429313178288109</v>
      </c>
      <c r="E41" s="207">
        <v>0.1322931317828811</v>
      </c>
      <c r="F41" s="207">
        <v>0.3236</v>
      </c>
    </row>
    <row r="42" spans="1:6" ht="16" customHeight="1">
      <c r="A42" s="32" t="s">
        <v>449</v>
      </c>
      <c r="B42" s="34" t="s">
        <v>399</v>
      </c>
      <c r="C42" s="205">
        <v>5.2830131959668077E-2</v>
      </c>
      <c r="D42" s="205">
        <f t="shared" si="1"/>
        <v>0.11814656589144057</v>
      </c>
      <c r="E42" s="207">
        <v>6.6146565891440565E-2</v>
      </c>
      <c r="F42" s="207">
        <v>0.2843</v>
      </c>
    </row>
    <row r="43" spans="1:6" ht="16" customHeight="1">
      <c r="A43" s="32" t="s">
        <v>450</v>
      </c>
      <c r="B43" s="34" t="s">
        <v>419</v>
      </c>
      <c r="C43" s="205">
        <v>6.4581924840476007E-2</v>
      </c>
      <c r="D43" s="205">
        <f t="shared" si="1"/>
        <v>0.1328605314504584</v>
      </c>
      <c r="E43" s="207">
        <v>8.0860531450458406E-2</v>
      </c>
      <c r="F43" s="207">
        <v>0.3</v>
      </c>
    </row>
    <row r="44" spans="1:6" ht="16" customHeight="1">
      <c r="A44" s="32" t="s">
        <v>451</v>
      </c>
      <c r="B44" s="34" t="s">
        <v>408</v>
      </c>
      <c r="C44" s="205">
        <v>4.2242931166147427E-2</v>
      </c>
      <c r="D44" s="205">
        <f t="shared" si="1"/>
        <v>0.10489074106349656</v>
      </c>
      <c r="E44" s="207">
        <v>5.2890741063496567E-2</v>
      </c>
      <c r="F44" s="207">
        <v>0.25</v>
      </c>
    </row>
    <row r="45" spans="1:6" ht="16" customHeight="1">
      <c r="A45" s="32" t="s">
        <v>452</v>
      </c>
      <c r="B45" s="34" t="s">
        <v>416</v>
      </c>
      <c r="C45" s="205">
        <v>3.5255378642423778E-2</v>
      </c>
      <c r="D45" s="205">
        <f t="shared" si="1"/>
        <v>9.6141896677053515E-2</v>
      </c>
      <c r="E45" s="207">
        <v>4.4141896677053517E-2</v>
      </c>
      <c r="F45" s="207">
        <v>0.18</v>
      </c>
    </row>
    <row r="46" spans="1:6" ht="16" customHeight="1">
      <c r="A46" s="32" t="s">
        <v>453</v>
      </c>
      <c r="B46" s="34" t="s">
        <v>448</v>
      </c>
      <c r="C46" s="205">
        <v>0.10566026391933619</v>
      </c>
      <c r="D46" s="205">
        <f t="shared" si="1"/>
        <v>0.18429313178288109</v>
      </c>
      <c r="E46" s="207">
        <v>0.1322931317828811</v>
      </c>
      <c r="F46" s="207">
        <v>0.27239999999999998</v>
      </c>
    </row>
    <row r="47" spans="1:6" ht="16" customHeight="1">
      <c r="A47" s="32" t="s">
        <v>454</v>
      </c>
      <c r="B47" s="34" t="s">
        <v>402</v>
      </c>
      <c r="C47" s="205">
        <v>2.2338993674328591E-2</v>
      </c>
      <c r="D47" s="205">
        <f t="shared" si="1"/>
        <v>7.9969790386961837E-2</v>
      </c>
      <c r="E47" s="207">
        <v>2.7969790386961839E-2</v>
      </c>
      <c r="F47" s="207">
        <v>0.22</v>
      </c>
    </row>
    <row r="48" spans="1:6" ht="16" customHeight="1">
      <c r="A48" s="32" t="s">
        <v>455</v>
      </c>
      <c r="B48" s="34" t="s">
        <v>416</v>
      </c>
      <c r="C48" s="205">
        <v>3.5255378642423778E-2</v>
      </c>
      <c r="D48" s="205">
        <f t="shared" si="1"/>
        <v>9.6141896677053515E-2</v>
      </c>
      <c r="E48" s="207">
        <v>4.4141896677053517E-2</v>
      </c>
      <c r="F48" s="207">
        <v>0.125</v>
      </c>
    </row>
    <row r="49" spans="1:6" ht="16" customHeight="1">
      <c r="A49" s="32" t="s">
        <v>456</v>
      </c>
      <c r="B49" s="34" t="s">
        <v>425</v>
      </c>
      <c r="C49" s="205">
        <v>7.0934245316588403E-3</v>
      </c>
      <c r="D49" s="205">
        <f t="shared" si="1"/>
        <v>6.0881402634722477E-2</v>
      </c>
      <c r="E49" s="207">
        <v>8.8814026347224795E-3</v>
      </c>
      <c r="F49" s="207">
        <v>0.19</v>
      </c>
    </row>
    <row r="50" spans="1:6" ht="16" customHeight="1">
      <c r="A50" s="32" t="s">
        <v>457</v>
      </c>
      <c r="B50" s="34" t="s">
        <v>412</v>
      </c>
      <c r="C50" s="205">
        <v>0</v>
      </c>
      <c r="D50" s="205">
        <f t="shared" si="1"/>
        <v>5.1999999999999998E-2</v>
      </c>
      <c r="E50" s="207">
        <v>0</v>
      </c>
      <c r="F50" s="207">
        <v>0.22</v>
      </c>
    </row>
    <row r="51" spans="1:6" ht="16" customHeight="1">
      <c r="A51" s="32" t="s">
        <v>458</v>
      </c>
      <c r="B51" s="34" t="s">
        <v>408</v>
      </c>
      <c r="C51" s="205">
        <v>4.2242931166147427E-2</v>
      </c>
      <c r="D51" s="205">
        <f t="shared" si="1"/>
        <v>0.10489074106349656</v>
      </c>
      <c r="E51" s="207">
        <v>5.2890741063496567E-2</v>
      </c>
      <c r="F51" s="207">
        <v>0.27</v>
      </c>
    </row>
    <row r="52" spans="1:6" ht="16" customHeight="1">
      <c r="A52" s="32" t="s">
        <v>459</v>
      </c>
      <c r="B52" s="34" t="s">
        <v>460</v>
      </c>
      <c r="C52" s="205">
        <v>0.1173061847922089</v>
      </c>
      <c r="D52" s="205">
        <f t="shared" si="1"/>
        <v>0.1988745390936196</v>
      </c>
      <c r="E52" s="207">
        <v>0.14687453909361961</v>
      </c>
      <c r="F52" s="207">
        <v>0.25</v>
      </c>
    </row>
    <row r="53" spans="1:6" ht="16" customHeight="1">
      <c r="A53" s="32" t="s">
        <v>461</v>
      </c>
      <c r="B53" s="34" t="s">
        <v>419</v>
      </c>
      <c r="C53" s="205">
        <v>6.4581924840476007E-2</v>
      </c>
      <c r="D53" s="205">
        <f t="shared" si="1"/>
        <v>0.1328605314504584</v>
      </c>
      <c r="E53" s="207">
        <v>8.0860531450458406E-2</v>
      </c>
      <c r="F53" s="207">
        <v>0.22500000000000001</v>
      </c>
    </row>
    <row r="54" spans="1:6" ht="16" customHeight="1">
      <c r="A54" s="32" t="s">
        <v>462</v>
      </c>
      <c r="B54" s="34" t="s">
        <v>404</v>
      </c>
      <c r="C54" s="205">
        <v>7.6333717721283945E-2</v>
      </c>
      <c r="D54" s="205">
        <f t="shared" si="1"/>
        <v>0.14757449700947625</v>
      </c>
      <c r="E54" s="207">
        <v>9.5574497009476247E-2</v>
      </c>
      <c r="F54" s="207">
        <v>0.3</v>
      </c>
    </row>
    <row r="55" spans="1:6" ht="16" customHeight="1">
      <c r="A55" s="32" t="s">
        <v>463</v>
      </c>
      <c r="B55" s="34" t="s">
        <v>443</v>
      </c>
      <c r="C55" s="205">
        <v>8.2580166189461131E-3</v>
      </c>
      <c r="D55" s="205">
        <f t="shared" si="1"/>
        <v>6.2339543365796321E-2</v>
      </c>
      <c r="E55" s="207">
        <v>1.033954336579632E-2</v>
      </c>
      <c r="F55" s="207">
        <v>0.2</v>
      </c>
    </row>
    <row r="56" spans="1:6" ht="16" customHeight="1">
      <c r="A56" s="32" t="s">
        <v>464</v>
      </c>
      <c r="B56" s="34" t="s">
        <v>419</v>
      </c>
      <c r="C56" s="205">
        <v>6.4581924840476007E-2</v>
      </c>
      <c r="D56" s="205">
        <f t="shared" si="1"/>
        <v>0.1328605314504584</v>
      </c>
      <c r="E56" s="207">
        <v>8.0860531450458406E-2</v>
      </c>
      <c r="F56" s="207">
        <v>0.3</v>
      </c>
    </row>
    <row r="57" spans="1:6" ht="16" customHeight="1">
      <c r="A57" s="32" t="s">
        <v>465</v>
      </c>
      <c r="B57" s="34" t="s">
        <v>408</v>
      </c>
      <c r="C57" s="205">
        <v>4.2242931166147427E-2</v>
      </c>
      <c r="D57" s="205">
        <f t="shared" si="1"/>
        <v>0.10489074106349656</v>
      </c>
      <c r="E57" s="207">
        <v>5.2890741063496567E-2</v>
      </c>
      <c r="F57" s="207">
        <v>0.2</v>
      </c>
    </row>
    <row r="58" spans="1:6" ht="16" customHeight="1">
      <c r="A58" s="32" t="s">
        <v>466</v>
      </c>
      <c r="B58" s="34" t="s">
        <v>414</v>
      </c>
      <c r="C58" s="205">
        <v>4.6583683491490894E-3</v>
      </c>
      <c r="D58" s="205">
        <f t="shared" si="1"/>
        <v>5.783256292429536E-2</v>
      </c>
      <c r="E58" s="207">
        <v>5.8325629242953593E-3</v>
      </c>
      <c r="F58" s="207">
        <v>0.2</v>
      </c>
    </row>
    <row r="59" spans="1:6" ht="16" customHeight="1">
      <c r="A59" s="32" t="s">
        <v>467</v>
      </c>
      <c r="B59" s="34" t="s">
        <v>397</v>
      </c>
      <c r="C59" s="205">
        <v>5.8229604364363613E-3</v>
      </c>
      <c r="D59" s="205">
        <f t="shared" si="1"/>
        <v>5.9290703655369197E-2</v>
      </c>
      <c r="E59" s="207">
        <v>7.2907036553691998E-3</v>
      </c>
      <c r="F59" s="207">
        <v>0.31</v>
      </c>
    </row>
    <row r="60" spans="1:6" ht="16" customHeight="1">
      <c r="A60" s="32" t="s">
        <v>468</v>
      </c>
      <c r="B60" s="34" t="s">
        <v>422</v>
      </c>
      <c r="C60" s="205">
        <v>8.7979638594156681E-2</v>
      </c>
      <c r="D60" s="205">
        <f t="shared" si="1"/>
        <v>0.16215590432021471</v>
      </c>
      <c r="E60" s="207">
        <v>0.1101559043202147</v>
      </c>
      <c r="F60" s="207">
        <v>0.3</v>
      </c>
    </row>
    <row r="61" spans="1:6" ht="16" customHeight="1">
      <c r="A61" s="206" t="s">
        <v>469</v>
      </c>
      <c r="B61" s="110" t="s">
        <v>188</v>
      </c>
      <c r="C61" s="159">
        <v>7.6333717721283945E-2</v>
      </c>
      <c r="D61" s="205">
        <f t="shared" si="1"/>
        <v>0.14757449700947625</v>
      </c>
      <c r="E61" s="159">
        <v>9.5574497009476247E-2</v>
      </c>
      <c r="F61" s="159">
        <v>0.31</v>
      </c>
    </row>
    <row r="62" spans="1:6" ht="16" customHeight="1">
      <c r="A62" s="32" t="s">
        <v>470</v>
      </c>
      <c r="B62" s="34" t="s">
        <v>416</v>
      </c>
      <c r="C62" s="205">
        <v>3.5255378642423778E-2</v>
      </c>
      <c r="D62" s="205">
        <f t="shared" si="1"/>
        <v>9.6141896677053515E-2</v>
      </c>
      <c r="E62" s="207">
        <v>4.4141896677053517E-2</v>
      </c>
      <c r="F62" s="207">
        <v>0.15</v>
      </c>
    </row>
    <row r="63" spans="1:6" ht="16" customHeight="1">
      <c r="A63" s="32" t="s">
        <v>471</v>
      </c>
      <c r="B63" s="34" t="s">
        <v>412</v>
      </c>
      <c r="C63" s="205">
        <v>0</v>
      </c>
      <c r="D63" s="205">
        <f t="shared" si="1"/>
        <v>5.1999999999999998E-2</v>
      </c>
      <c r="E63" s="207">
        <v>0</v>
      </c>
      <c r="F63" s="207">
        <v>0.3</v>
      </c>
    </row>
    <row r="64" spans="1:6" ht="16" customHeight="1">
      <c r="A64" s="32" t="s">
        <v>472</v>
      </c>
      <c r="B64" s="34" t="s">
        <v>404</v>
      </c>
      <c r="C64" s="205">
        <v>7.6333717721283945E-2</v>
      </c>
      <c r="D64" s="205">
        <f t="shared" si="1"/>
        <v>0.14757449700947625</v>
      </c>
      <c r="E64" s="207">
        <v>9.5574497009476247E-2</v>
      </c>
      <c r="F64" s="207">
        <v>0.25</v>
      </c>
    </row>
    <row r="65" spans="1:6" ht="16" customHeight="1">
      <c r="A65" s="32" t="s">
        <v>473</v>
      </c>
      <c r="B65" s="34" t="s">
        <v>399</v>
      </c>
      <c r="C65" s="205">
        <v>5.2830131959668077E-2</v>
      </c>
      <c r="D65" s="205">
        <f t="shared" si="1"/>
        <v>0.11814656589144057</v>
      </c>
      <c r="E65" s="207">
        <v>6.6146565891440565E-2</v>
      </c>
      <c r="F65" s="207">
        <v>0.28000000000000003</v>
      </c>
    </row>
    <row r="66" spans="1:6" ht="16" customHeight="1">
      <c r="A66" s="32" t="s">
        <v>474</v>
      </c>
      <c r="B66" s="34" t="s">
        <v>475</v>
      </c>
      <c r="C66" s="205">
        <v>2.9326546198052229E-2</v>
      </c>
      <c r="D66" s="205">
        <f t="shared" si="1"/>
        <v>8.8718634773404886E-2</v>
      </c>
      <c r="E66" s="207">
        <v>3.6718634773404889E-2</v>
      </c>
      <c r="F66" s="207">
        <v>0.25</v>
      </c>
    </row>
    <row r="67" spans="1:6" ht="16" customHeight="1">
      <c r="A67" s="32" t="s">
        <v>476</v>
      </c>
      <c r="B67" s="34" t="s">
        <v>425</v>
      </c>
      <c r="C67" s="205">
        <v>7.0934245316588403E-3</v>
      </c>
      <c r="D67" s="205">
        <f t="shared" si="1"/>
        <v>6.0881402634722477E-2</v>
      </c>
      <c r="E67" s="207">
        <v>8.8814026347224795E-3</v>
      </c>
      <c r="F67" s="207">
        <v>0</v>
      </c>
    </row>
    <row r="68" spans="1:6" ht="16" customHeight="1">
      <c r="A68" s="206" t="s">
        <v>477</v>
      </c>
      <c r="B68" s="110" t="s">
        <v>188</v>
      </c>
      <c r="C68" s="159">
        <v>0.14080977055382479</v>
      </c>
      <c r="D68" s="205">
        <f t="shared" si="1"/>
        <v>0.2283024702116552</v>
      </c>
      <c r="E68" s="159">
        <v>0.17630247021165521</v>
      </c>
      <c r="F68" s="159">
        <v>0.29149999999999998</v>
      </c>
    </row>
    <row r="69" spans="1:6" ht="16" customHeight="1">
      <c r="A69" s="206" t="s">
        <v>478</v>
      </c>
      <c r="B69" s="110" t="s">
        <v>188</v>
      </c>
      <c r="C69" s="159">
        <v>8.7979638594156681E-2</v>
      </c>
      <c r="D69" s="205">
        <f t="shared" ref="D69:D100" si="2">$B$1+E69</f>
        <v>0.16215590432021471</v>
      </c>
      <c r="E69" s="159">
        <v>0.1101559043202147</v>
      </c>
      <c r="F69" s="159">
        <v>0.29149999999999998</v>
      </c>
    </row>
    <row r="70" spans="1:6" ht="16" customHeight="1">
      <c r="A70" s="206" t="s">
        <v>479</v>
      </c>
      <c r="B70" s="110" t="s">
        <v>188</v>
      </c>
      <c r="C70" s="159">
        <v>6.4581924840476021E-2</v>
      </c>
      <c r="D70" s="205">
        <f t="shared" si="2"/>
        <v>0.13286053145045842</v>
      </c>
      <c r="E70" s="159">
        <v>8.086053145045842E-2</v>
      </c>
      <c r="F70" s="159">
        <v>0.18640000000000001</v>
      </c>
    </row>
    <row r="71" spans="1:6" ht="16" customHeight="1">
      <c r="A71" s="206" t="s">
        <v>480</v>
      </c>
      <c r="B71" s="110" t="s">
        <v>188</v>
      </c>
      <c r="C71" s="159">
        <v>0.14080977055382479</v>
      </c>
      <c r="D71" s="205">
        <f t="shared" si="2"/>
        <v>0.2283024702116552</v>
      </c>
      <c r="E71" s="159">
        <v>0.17630247021165521</v>
      </c>
      <c r="F71" s="159">
        <v>0.18640000000000001</v>
      </c>
    </row>
    <row r="72" spans="1:6" ht="16" customHeight="1">
      <c r="A72" s="32" t="s">
        <v>481</v>
      </c>
      <c r="B72" s="34" t="s">
        <v>399</v>
      </c>
      <c r="C72" s="205">
        <v>5.2830131959668077E-2</v>
      </c>
      <c r="D72" s="205">
        <f t="shared" si="2"/>
        <v>0.11814656589144057</v>
      </c>
      <c r="E72" s="207">
        <v>6.6146565891440565E-2</v>
      </c>
      <c r="F72" s="207">
        <v>0.25</v>
      </c>
    </row>
    <row r="73" spans="1:6" ht="16" customHeight="1">
      <c r="A73" s="32" t="s">
        <v>482</v>
      </c>
      <c r="B73" s="34" t="s">
        <v>425</v>
      </c>
      <c r="C73" s="205">
        <v>7.0934245316588403E-3</v>
      </c>
      <c r="D73" s="205">
        <f t="shared" si="2"/>
        <v>6.0881402634722477E-2</v>
      </c>
      <c r="E73" s="207">
        <v>8.8814026347224795E-3</v>
      </c>
      <c r="F73" s="207">
        <v>0.16500000000000001</v>
      </c>
    </row>
    <row r="74" spans="1:6" ht="16" customHeight="1">
      <c r="A74" s="32" t="s">
        <v>483</v>
      </c>
      <c r="B74" s="34" t="s">
        <v>484</v>
      </c>
      <c r="C74" s="205">
        <v>2.5832769936190408E-2</v>
      </c>
      <c r="D74" s="205">
        <f t="shared" si="2"/>
        <v>8.4344212580183348E-2</v>
      </c>
      <c r="E74" s="207">
        <v>3.2344212580183357E-2</v>
      </c>
      <c r="F74" s="207">
        <v>0.09</v>
      </c>
    </row>
    <row r="75" spans="1:6" ht="16" customHeight="1">
      <c r="A75" s="32" t="s">
        <v>485</v>
      </c>
      <c r="B75" s="34" t="s">
        <v>429</v>
      </c>
      <c r="C75" s="205">
        <v>9.9519687459094178E-3</v>
      </c>
      <c r="D75" s="205">
        <f t="shared" si="2"/>
        <v>6.4460475338267362E-2</v>
      </c>
      <c r="E75" s="207">
        <v>1.2460475338267361E-2</v>
      </c>
      <c r="F75" s="207">
        <v>0.2</v>
      </c>
    </row>
    <row r="76" spans="1:6" ht="16" customHeight="1">
      <c r="A76" s="32" t="s">
        <v>486</v>
      </c>
      <c r="B76" s="34" t="s">
        <v>484</v>
      </c>
      <c r="C76" s="205">
        <v>2.5832769936190408E-2</v>
      </c>
      <c r="D76" s="205">
        <f t="shared" si="2"/>
        <v>8.4344212580183348E-2</v>
      </c>
      <c r="E76" s="207">
        <v>3.2344212580183357E-2</v>
      </c>
      <c r="F76" s="207">
        <v>0.3</v>
      </c>
    </row>
    <row r="77" spans="1:6" ht="16" customHeight="1">
      <c r="A77" s="32" t="s">
        <v>487</v>
      </c>
      <c r="B77" s="34" t="s">
        <v>402</v>
      </c>
      <c r="C77" s="205">
        <v>2.2338993674328591E-2</v>
      </c>
      <c r="D77" s="205">
        <f t="shared" si="2"/>
        <v>7.9969790386961837E-2</v>
      </c>
      <c r="E77" s="207">
        <v>2.7969790386961839E-2</v>
      </c>
      <c r="F77" s="207">
        <v>0.25</v>
      </c>
    </row>
    <row r="78" spans="1:6" ht="16" customHeight="1">
      <c r="A78" s="206" t="s">
        <v>488</v>
      </c>
      <c r="B78" s="110" t="s">
        <v>188</v>
      </c>
      <c r="C78" s="159">
        <v>0.1056602639193361</v>
      </c>
      <c r="D78" s="205">
        <f t="shared" si="2"/>
        <v>0.18429313178288109</v>
      </c>
      <c r="E78" s="159">
        <v>0.1322931317828811</v>
      </c>
      <c r="F78" s="159">
        <v>0.20230000000000001</v>
      </c>
    </row>
    <row r="79" spans="1:6" ht="16" customHeight="1">
      <c r="A79" s="32" t="s">
        <v>489</v>
      </c>
      <c r="B79" s="34" t="s">
        <v>422</v>
      </c>
      <c r="C79" s="205">
        <v>8.7979638594156681E-2</v>
      </c>
      <c r="D79" s="205">
        <f t="shared" si="2"/>
        <v>0.16215590432021471</v>
      </c>
      <c r="E79" s="207">
        <v>0.1101559043202147</v>
      </c>
      <c r="F79" s="207">
        <v>0.15</v>
      </c>
    </row>
    <row r="80" spans="1:6" ht="16" customHeight="1">
      <c r="A80" s="32" t="s">
        <v>490</v>
      </c>
      <c r="B80" s="34" t="s">
        <v>429</v>
      </c>
      <c r="C80" s="205">
        <v>9.9519687459094178E-3</v>
      </c>
      <c r="D80" s="205">
        <f t="shared" si="2"/>
        <v>6.4460475338267362E-2</v>
      </c>
      <c r="E80" s="207">
        <v>1.2460475338267361E-2</v>
      </c>
      <c r="F80" s="207">
        <v>0.125</v>
      </c>
    </row>
    <row r="81" spans="1:6" ht="16" customHeight="1">
      <c r="A81" s="32" t="s">
        <v>491</v>
      </c>
      <c r="B81" s="34" t="s">
        <v>397</v>
      </c>
      <c r="C81" s="205">
        <v>5.8229604364363613E-3</v>
      </c>
      <c r="D81" s="205">
        <f t="shared" si="2"/>
        <v>5.9290703655369197E-2</v>
      </c>
      <c r="E81" s="207">
        <v>7.2907036553691998E-3</v>
      </c>
      <c r="F81" s="207">
        <v>0</v>
      </c>
    </row>
    <row r="82" spans="1:6" ht="16" customHeight="1">
      <c r="A82" s="32" t="s">
        <v>492</v>
      </c>
      <c r="B82" s="34" t="s">
        <v>443</v>
      </c>
      <c r="C82" s="205">
        <v>8.2580166189461131E-3</v>
      </c>
      <c r="D82" s="205">
        <f t="shared" si="2"/>
        <v>6.2339543365796321E-2</v>
      </c>
      <c r="E82" s="207">
        <v>1.033954336579632E-2</v>
      </c>
      <c r="F82" s="207">
        <v>0.23</v>
      </c>
    </row>
    <row r="83" spans="1:6" ht="16" customHeight="1">
      <c r="A83" s="32" t="s">
        <v>493</v>
      </c>
      <c r="B83" s="34" t="s">
        <v>484</v>
      </c>
      <c r="C83" s="205">
        <v>2.5832769936190408E-2</v>
      </c>
      <c r="D83" s="205">
        <f t="shared" si="2"/>
        <v>8.4344212580183348E-2</v>
      </c>
      <c r="E83" s="207">
        <v>3.2344212580183357E-2</v>
      </c>
      <c r="F83" s="207">
        <v>0.24</v>
      </c>
    </row>
    <row r="84" spans="1:6" ht="16" customHeight="1">
      <c r="A84" s="32" t="s">
        <v>494</v>
      </c>
      <c r="B84" s="34" t="s">
        <v>419</v>
      </c>
      <c r="C84" s="205">
        <v>6.4581924840476007E-2</v>
      </c>
      <c r="D84" s="205">
        <f t="shared" si="2"/>
        <v>0.1328605314504584</v>
      </c>
      <c r="E84" s="207">
        <v>8.0860531450458406E-2</v>
      </c>
      <c r="F84" s="207">
        <v>0.25</v>
      </c>
    </row>
    <row r="85" spans="1:6" ht="16" customHeight="1">
      <c r="A85" s="32" t="s">
        <v>495</v>
      </c>
      <c r="B85" s="34" t="s">
        <v>443</v>
      </c>
      <c r="C85" s="205">
        <v>8.2580166189461131E-3</v>
      </c>
      <c r="D85" s="205">
        <f t="shared" si="2"/>
        <v>6.2339543365796321E-2</v>
      </c>
      <c r="E85" s="207">
        <v>1.033954336579632E-2</v>
      </c>
      <c r="F85" s="207">
        <v>0.30620000000000003</v>
      </c>
    </row>
    <row r="86" spans="1:6" ht="16" customHeight="1">
      <c r="A86" s="32" t="s">
        <v>496</v>
      </c>
      <c r="B86" s="34" t="s">
        <v>425</v>
      </c>
      <c r="C86" s="205">
        <v>7.0934245316588403E-3</v>
      </c>
      <c r="D86" s="205">
        <f t="shared" si="2"/>
        <v>6.0881402634722477E-2</v>
      </c>
      <c r="E86" s="207">
        <v>8.8814026347224795E-3</v>
      </c>
      <c r="F86" s="207">
        <v>0</v>
      </c>
    </row>
    <row r="87" spans="1:6" ht="16" customHeight="1">
      <c r="A87" s="32" t="s">
        <v>497</v>
      </c>
      <c r="B87" s="34" t="s">
        <v>399</v>
      </c>
      <c r="C87" s="205">
        <v>5.2830131959668077E-2</v>
      </c>
      <c r="D87" s="205">
        <f t="shared" si="2"/>
        <v>0.11814656589144057</v>
      </c>
      <c r="E87" s="207">
        <v>6.6146565891440565E-2</v>
      </c>
      <c r="F87" s="207">
        <v>0.2</v>
      </c>
    </row>
    <row r="88" spans="1:6" ht="16" customHeight="1">
      <c r="A88" s="32" t="s">
        <v>498</v>
      </c>
      <c r="B88" s="34" t="s">
        <v>484</v>
      </c>
      <c r="C88" s="205">
        <v>2.5832769936190408E-2</v>
      </c>
      <c r="D88" s="205">
        <f t="shared" si="2"/>
        <v>8.4344212580183348E-2</v>
      </c>
      <c r="E88" s="207">
        <v>3.2344212580183357E-2</v>
      </c>
      <c r="F88" s="207">
        <v>0.2</v>
      </c>
    </row>
    <row r="89" spans="1:6" ht="16" customHeight="1">
      <c r="A89" s="32" t="s">
        <v>499</v>
      </c>
      <c r="B89" s="34" t="s">
        <v>419</v>
      </c>
      <c r="C89" s="205">
        <v>6.4581924840476007E-2</v>
      </c>
      <c r="D89" s="205">
        <f t="shared" si="2"/>
        <v>0.1328605314504584</v>
      </c>
      <c r="E89" s="207">
        <v>8.0860531450458406E-2</v>
      </c>
      <c r="F89" s="207">
        <v>0.3</v>
      </c>
    </row>
    <row r="90" spans="1:6" ht="16" customHeight="1">
      <c r="A90" s="32" t="s">
        <v>500</v>
      </c>
      <c r="B90" s="34" t="s">
        <v>397</v>
      </c>
      <c r="C90" s="205">
        <v>5.8229604364363613E-3</v>
      </c>
      <c r="D90" s="205">
        <f t="shared" si="2"/>
        <v>5.9290703655369197E-2</v>
      </c>
      <c r="E90" s="207">
        <v>7.2907036553691998E-3</v>
      </c>
      <c r="F90" s="207">
        <v>0.25</v>
      </c>
    </row>
    <row r="91" spans="1:6" ht="16" customHeight="1">
      <c r="A91" s="206" t="s">
        <v>501</v>
      </c>
      <c r="B91" s="110" t="s">
        <v>188</v>
      </c>
      <c r="C91" s="159">
        <v>0.14080977055382479</v>
      </c>
      <c r="D91" s="205">
        <f t="shared" si="2"/>
        <v>0.2283024702116552</v>
      </c>
      <c r="E91" s="159">
        <v>0.17630247021165521</v>
      </c>
      <c r="F91" s="159">
        <v>0.23100000000000001</v>
      </c>
    </row>
    <row r="92" spans="1:6" ht="16" customHeight="1">
      <c r="A92" s="32" t="s">
        <v>502</v>
      </c>
      <c r="B92" s="34" t="s">
        <v>397</v>
      </c>
      <c r="C92" s="205">
        <v>5.8229604364363613E-3</v>
      </c>
      <c r="D92" s="205">
        <f t="shared" si="2"/>
        <v>5.9290703655369197E-2</v>
      </c>
      <c r="E92" s="207">
        <v>7.2907036553691998E-3</v>
      </c>
      <c r="F92" s="207">
        <v>0.15</v>
      </c>
    </row>
    <row r="93" spans="1:6" ht="16" customHeight="1">
      <c r="A93" s="32" t="s">
        <v>503</v>
      </c>
      <c r="B93" s="34" t="s">
        <v>419</v>
      </c>
      <c r="C93" s="205">
        <v>6.4581924840476007E-2</v>
      </c>
      <c r="D93" s="205">
        <f t="shared" si="2"/>
        <v>0.1328605314504584</v>
      </c>
      <c r="E93" s="207">
        <v>8.0860531450458406E-2</v>
      </c>
      <c r="F93" s="207">
        <v>0.1</v>
      </c>
    </row>
    <row r="94" spans="1:6" ht="16" customHeight="1">
      <c r="A94" s="32" t="s">
        <v>504</v>
      </c>
      <c r="B94" s="34" t="s">
        <v>404</v>
      </c>
      <c r="C94" s="205">
        <v>1.408097705538248E-2</v>
      </c>
      <c r="D94" s="205">
        <f t="shared" si="2"/>
        <v>6.963024702116552E-2</v>
      </c>
      <c r="E94" s="207">
        <v>1.7630247021165519E-2</v>
      </c>
      <c r="F94" s="207">
        <v>0.3019</v>
      </c>
    </row>
    <row r="95" spans="1:6" ht="16" customHeight="1">
      <c r="A95" s="32" t="s">
        <v>505</v>
      </c>
      <c r="B95" s="34" t="s">
        <v>506</v>
      </c>
      <c r="C95" s="205">
        <v>1.408097705538248E-2</v>
      </c>
      <c r="D95" s="205">
        <f t="shared" si="2"/>
        <v>6.963024702116552E-2</v>
      </c>
      <c r="E95" s="207">
        <v>1.7630247021165519E-2</v>
      </c>
      <c r="F95" s="207">
        <v>0.2</v>
      </c>
    </row>
    <row r="96" spans="1:6" ht="16" customHeight="1">
      <c r="A96" s="32" t="s">
        <v>507</v>
      </c>
      <c r="B96" s="34" t="s">
        <v>406</v>
      </c>
      <c r="C96" s="205">
        <v>0.14080977055382479</v>
      </c>
      <c r="D96" s="205">
        <f t="shared" si="2"/>
        <v>0.2283024702116552</v>
      </c>
      <c r="E96" s="207">
        <v>0.17630247021165521</v>
      </c>
      <c r="F96" s="207">
        <v>0.17</v>
      </c>
    </row>
    <row r="97" spans="1:6" ht="16" customHeight="1">
      <c r="A97" s="206" t="s">
        <v>508</v>
      </c>
      <c r="B97" s="110" t="s">
        <v>188</v>
      </c>
      <c r="C97" s="159">
        <v>0.14080977055382479</v>
      </c>
      <c r="D97" s="205">
        <f t="shared" si="2"/>
        <v>0.2283024702116552</v>
      </c>
      <c r="E97" s="159">
        <v>0.17630247021165521</v>
      </c>
      <c r="F97" s="159">
        <v>0.29149999999999998</v>
      </c>
    </row>
    <row r="98" spans="1:6" ht="16" customHeight="1">
      <c r="A98" s="206" t="s">
        <v>509</v>
      </c>
      <c r="B98" s="110" t="s">
        <v>188</v>
      </c>
      <c r="C98" s="159">
        <v>0.1056602639193361</v>
      </c>
      <c r="D98" s="205">
        <f t="shared" si="2"/>
        <v>0.18429313178288109</v>
      </c>
      <c r="E98" s="159">
        <v>0.1322931317828811</v>
      </c>
      <c r="F98" s="258">
        <v>0.2</v>
      </c>
    </row>
    <row r="99" spans="1:6" ht="16" customHeight="1">
      <c r="A99" s="32" t="s">
        <v>510</v>
      </c>
      <c r="B99" s="34" t="s">
        <v>412</v>
      </c>
      <c r="C99" s="205">
        <v>0</v>
      </c>
      <c r="D99" s="205">
        <f t="shared" si="2"/>
        <v>5.1999999999999998E-2</v>
      </c>
      <c r="E99" s="207">
        <v>0</v>
      </c>
      <c r="F99" s="207">
        <v>0.125</v>
      </c>
    </row>
    <row r="100" spans="1:6" ht="16" customHeight="1">
      <c r="A100" s="32" t="s">
        <v>511</v>
      </c>
      <c r="B100" s="34" t="s">
        <v>506</v>
      </c>
      <c r="C100" s="205">
        <v>1.408097705538248E-2</v>
      </c>
      <c r="D100" s="205">
        <f t="shared" si="2"/>
        <v>6.963024702116552E-2</v>
      </c>
      <c r="E100" s="207">
        <v>1.7630247021165519E-2</v>
      </c>
      <c r="F100" s="207">
        <v>0.15</v>
      </c>
    </row>
    <row r="101" spans="1:6" ht="16" customHeight="1">
      <c r="A101" s="32" t="s">
        <v>512</v>
      </c>
      <c r="B101" s="34" t="s">
        <v>412</v>
      </c>
      <c r="C101" s="205">
        <v>0</v>
      </c>
      <c r="D101" s="205">
        <f t="shared" ref="D101:D132" si="3">$B$1+E101</f>
        <v>5.1999999999999998E-2</v>
      </c>
      <c r="E101" s="207">
        <v>0</v>
      </c>
      <c r="F101" s="207">
        <v>0.2601</v>
      </c>
    </row>
    <row r="102" spans="1:6" ht="16" customHeight="1">
      <c r="A102" s="32" t="s">
        <v>513</v>
      </c>
      <c r="B102" s="34" t="s">
        <v>425</v>
      </c>
      <c r="C102" s="205">
        <v>7.0934245316588403E-3</v>
      </c>
      <c r="D102" s="205">
        <f t="shared" si="3"/>
        <v>6.0881402634722477E-2</v>
      </c>
      <c r="E102" s="207">
        <v>8.8814026347224795E-3</v>
      </c>
      <c r="F102" s="207">
        <v>0.12</v>
      </c>
    </row>
    <row r="103" spans="1:6" ht="16" customHeight="1">
      <c r="A103" s="32" t="s">
        <v>514</v>
      </c>
      <c r="B103" s="34" t="s">
        <v>408</v>
      </c>
      <c r="C103" s="205">
        <v>4.2242931166147427E-2</v>
      </c>
      <c r="D103" s="205">
        <f t="shared" si="3"/>
        <v>0.10489074106349656</v>
      </c>
      <c r="E103" s="207">
        <v>5.2890741063496567E-2</v>
      </c>
      <c r="F103" s="207">
        <v>0.1</v>
      </c>
    </row>
    <row r="104" spans="1:6" ht="16" customHeight="1">
      <c r="A104" s="206" t="s">
        <v>515</v>
      </c>
      <c r="B104" s="110" t="s">
        <v>188</v>
      </c>
      <c r="C104" s="159">
        <v>7.6333717721283945E-2</v>
      </c>
      <c r="D104" s="205">
        <f t="shared" si="3"/>
        <v>0.14757449700947625</v>
      </c>
      <c r="E104" s="159">
        <v>9.5574497009476247E-2</v>
      </c>
      <c r="F104" s="159">
        <v>0.2</v>
      </c>
    </row>
    <row r="105" spans="1:6" ht="16" customHeight="1">
      <c r="A105" s="206" t="s">
        <v>516</v>
      </c>
      <c r="B105" s="110" t="s">
        <v>188</v>
      </c>
      <c r="C105" s="159">
        <v>0.1056602639193361</v>
      </c>
      <c r="D105" s="205">
        <f t="shared" si="3"/>
        <v>0.18429313178288109</v>
      </c>
      <c r="E105" s="159">
        <v>0.1322931317828811</v>
      </c>
      <c r="F105" s="159">
        <v>0.3</v>
      </c>
    </row>
    <row r="106" spans="1:6" ht="16" customHeight="1">
      <c r="A106" s="32" t="s">
        <v>517</v>
      </c>
      <c r="B106" s="34" t="s">
        <v>506</v>
      </c>
      <c r="C106" s="205">
        <v>1.408097705538248E-2</v>
      </c>
      <c r="D106" s="205">
        <f t="shared" si="3"/>
        <v>6.963024702116552E-2</v>
      </c>
      <c r="E106" s="207">
        <v>1.7630247021165519E-2</v>
      </c>
      <c r="F106" s="207">
        <v>0.24</v>
      </c>
    </row>
    <row r="107" spans="1:6" ht="16" customHeight="1">
      <c r="A107" s="32" t="s">
        <v>518</v>
      </c>
      <c r="B107" s="34" t="s">
        <v>404</v>
      </c>
      <c r="C107" s="205">
        <v>7.6333717721283945E-2</v>
      </c>
      <c r="D107" s="205">
        <f t="shared" si="3"/>
        <v>0.14757449700947625</v>
      </c>
      <c r="E107" s="207">
        <v>9.5574497009476247E-2</v>
      </c>
      <c r="F107" s="207">
        <v>0.3019</v>
      </c>
    </row>
    <row r="108" spans="1:6" ht="16" customHeight="1">
      <c r="A108" s="32" t="s">
        <v>519</v>
      </c>
      <c r="B108" s="34" t="s">
        <v>404</v>
      </c>
      <c r="C108" s="205">
        <v>7.6333717721283945E-2</v>
      </c>
      <c r="D108" s="205">
        <f t="shared" si="3"/>
        <v>0.14757449700947625</v>
      </c>
      <c r="E108" s="207">
        <v>9.5574497009476247E-2</v>
      </c>
      <c r="F108" s="207">
        <v>0.28239999999999998</v>
      </c>
    </row>
    <row r="109" spans="1:6" ht="16" customHeight="1">
      <c r="A109" s="32" t="s">
        <v>520</v>
      </c>
      <c r="B109" s="34" t="s">
        <v>429</v>
      </c>
      <c r="C109" s="205">
        <v>9.9519687459094178E-3</v>
      </c>
      <c r="D109" s="205">
        <f t="shared" si="3"/>
        <v>6.4460475338267362E-2</v>
      </c>
      <c r="E109" s="207">
        <v>1.2460475338267361E-2</v>
      </c>
      <c r="F109" s="207">
        <v>0.35</v>
      </c>
    </row>
    <row r="110" spans="1:6" ht="16" customHeight="1">
      <c r="A110" s="32" t="s">
        <v>521</v>
      </c>
      <c r="B110" s="34" t="s">
        <v>410</v>
      </c>
      <c r="C110" s="205">
        <v>1.8739345404531569E-2</v>
      </c>
      <c r="D110" s="205">
        <f t="shared" si="3"/>
        <v>7.5462809945460882E-2</v>
      </c>
      <c r="E110" s="207">
        <v>2.3462809945460881E-2</v>
      </c>
      <c r="F110" s="207">
        <v>0.15</v>
      </c>
    </row>
    <row r="111" spans="1:6" ht="16" customHeight="1">
      <c r="A111" s="32" t="s">
        <v>522</v>
      </c>
      <c r="B111" s="34" t="s">
        <v>410</v>
      </c>
      <c r="C111" s="205">
        <v>1.8739345404531569E-2</v>
      </c>
      <c r="D111" s="205">
        <f t="shared" si="3"/>
        <v>7.5462809945460882E-2</v>
      </c>
      <c r="E111" s="207">
        <v>2.3462809945460881E-2</v>
      </c>
      <c r="F111" s="207">
        <v>0.3</v>
      </c>
    </row>
    <row r="112" spans="1:6" ht="16" customHeight="1">
      <c r="A112" s="32" t="s">
        <v>523</v>
      </c>
      <c r="B112" s="34" t="s">
        <v>404</v>
      </c>
      <c r="C112" s="205">
        <v>7.6333717721283945E-2</v>
      </c>
      <c r="D112" s="205">
        <f t="shared" si="3"/>
        <v>0.14757449700947625</v>
      </c>
      <c r="E112" s="207">
        <v>9.5574497009476247E-2</v>
      </c>
      <c r="F112" s="207">
        <v>0.12</v>
      </c>
    </row>
    <row r="113" spans="1:6" ht="16" customHeight="1">
      <c r="A113" s="32" t="s">
        <v>524</v>
      </c>
      <c r="B113" s="34" t="s">
        <v>404</v>
      </c>
      <c r="C113" s="205">
        <v>7.6333717721283945E-2</v>
      </c>
      <c r="D113" s="205">
        <f t="shared" si="3"/>
        <v>0.14757449700947625</v>
      </c>
      <c r="E113" s="207">
        <v>9.5574497009476247E-2</v>
      </c>
      <c r="F113" s="207">
        <v>0.25</v>
      </c>
    </row>
    <row r="114" spans="1:6" ht="16" customHeight="1">
      <c r="A114" s="32" t="s">
        <v>525</v>
      </c>
      <c r="B114" s="34" t="s">
        <v>399</v>
      </c>
      <c r="C114" s="205">
        <v>5.2830131959668077E-2</v>
      </c>
      <c r="D114" s="205">
        <f t="shared" si="3"/>
        <v>0.11814656589144057</v>
      </c>
      <c r="E114" s="207">
        <v>6.6146565891440565E-2</v>
      </c>
      <c r="F114" s="207">
        <v>0.09</v>
      </c>
    </row>
    <row r="115" spans="1:6" ht="16" customHeight="1">
      <c r="A115" s="32" t="s">
        <v>526</v>
      </c>
      <c r="B115" s="34" t="s">
        <v>484</v>
      </c>
      <c r="C115" s="205">
        <v>2.5832769936190408E-2</v>
      </c>
      <c r="D115" s="205">
        <f t="shared" si="3"/>
        <v>8.4344212580183348E-2</v>
      </c>
      <c r="E115" s="207">
        <v>3.2344212580183357E-2</v>
      </c>
      <c r="F115" s="207">
        <v>0.27239999999999998</v>
      </c>
    </row>
    <row r="116" spans="1:6" ht="16" customHeight="1">
      <c r="A116" s="32" t="s">
        <v>527</v>
      </c>
      <c r="B116" s="34" t="s">
        <v>475</v>
      </c>
      <c r="C116" s="205">
        <v>2.9326546198052229E-2</v>
      </c>
      <c r="D116" s="205">
        <f t="shared" si="3"/>
        <v>8.8718634773404886E-2</v>
      </c>
      <c r="E116" s="207">
        <v>3.6718634773404889E-2</v>
      </c>
      <c r="F116" s="207">
        <v>0.31</v>
      </c>
    </row>
    <row r="117" spans="1:6" ht="16" customHeight="1">
      <c r="A117" s="32" t="s">
        <v>528</v>
      </c>
      <c r="B117" s="34" t="s">
        <v>448</v>
      </c>
      <c r="C117" s="205">
        <v>0.10566026391933619</v>
      </c>
      <c r="D117" s="205">
        <f t="shared" si="3"/>
        <v>0.18429313178288109</v>
      </c>
      <c r="E117" s="207">
        <v>0.1322931317828811</v>
      </c>
      <c r="F117" s="207">
        <v>0.32</v>
      </c>
    </row>
    <row r="118" spans="1:6" ht="16" customHeight="1">
      <c r="A118" s="206" t="s">
        <v>529</v>
      </c>
      <c r="B118" s="110" t="s">
        <v>188</v>
      </c>
      <c r="C118" s="159">
        <v>7.6333717721283945E-2</v>
      </c>
      <c r="D118" s="205">
        <f t="shared" si="3"/>
        <v>0.14757449700947625</v>
      </c>
      <c r="E118" s="159">
        <v>9.5574497009476247E-2</v>
      </c>
      <c r="F118" s="159">
        <v>0.25</v>
      </c>
    </row>
    <row r="119" spans="1:6" ht="16" customHeight="1">
      <c r="A119" s="32" t="s">
        <v>530</v>
      </c>
      <c r="B119" s="34" t="s">
        <v>416</v>
      </c>
      <c r="C119" s="205">
        <v>3.5255378642423778E-2</v>
      </c>
      <c r="D119" s="205">
        <f t="shared" si="3"/>
        <v>9.6141896677053515E-2</v>
      </c>
      <c r="E119" s="207">
        <v>4.4141896677053517E-2</v>
      </c>
      <c r="F119" s="207">
        <v>0.32</v>
      </c>
    </row>
    <row r="120" spans="1:6" ht="16" customHeight="1">
      <c r="A120" s="32" t="s">
        <v>531</v>
      </c>
      <c r="B120" s="34" t="s">
        <v>412</v>
      </c>
      <c r="C120" s="205">
        <v>0</v>
      </c>
      <c r="D120" s="205">
        <f t="shared" si="3"/>
        <v>5.1999999999999998E-2</v>
      </c>
      <c r="E120" s="207">
        <v>0</v>
      </c>
      <c r="F120" s="207">
        <v>0.25</v>
      </c>
    </row>
    <row r="121" spans="1:6" ht="16" customHeight="1">
      <c r="A121" s="32" t="s">
        <v>532</v>
      </c>
      <c r="B121" s="34" t="s">
        <v>412</v>
      </c>
      <c r="C121" s="205">
        <v>0</v>
      </c>
      <c r="D121" s="205">
        <f t="shared" si="3"/>
        <v>5.1999999999999998E-2</v>
      </c>
      <c r="E121" s="207">
        <v>0</v>
      </c>
      <c r="F121" s="207">
        <v>0.28000000000000003</v>
      </c>
    </row>
    <row r="122" spans="1:6" ht="16" customHeight="1">
      <c r="A122" s="32" t="s">
        <v>533</v>
      </c>
      <c r="B122" s="34" t="s">
        <v>404</v>
      </c>
      <c r="C122" s="205">
        <v>7.6333717721283945E-2</v>
      </c>
      <c r="D122" s="205">
        <f t="shared" si="3"/>
        <v>0.14757449700947625</v>
      </c>
      <c r="E122" s="207">
        <v>9.5574497009476247E-2</v>
      </c>
      <c r="F122" s="207">
        <v>0.3</v>
      </c>
    </row>
    <row r="123" spans="1:6" ht="16" customHeight="1">
      <c r="A123" s="32" t="s">
        <v>534</v>
      </c>
      <c r="B123" s="34" t="s">
        <v>404</v>
      </c>
      <c r="C123" s="205">
        <v>7.6333717721283945E-2</v>
      </c>
      <c r="D123" s="205">
        <f t="shared" si="3"/>
        <v>0.14757449700947625</v>
      </c>
      <c r="E123" s="207">
        <v>9.5574497009476247E-2</v>
      </c>
      <c r="F123" s="207">
        <v>0.3236</v>
      </c>
    </row>
    <row r="124" spans="1:6" ht="16" customHeight="1">
      <c r="A124" s="32" t="s">
        <v>535</v>
      </c>
      <c r="B124" s="34" t="s">
        <v>419</v>
      </c>
      <c r="C124" s="205">
        <v>6.4581924840476007E-2</v>
      </c>
      <c r="D124" s="205">
        <f t="shared" si="3"/>
        <v>0.1328605314504584</v>
      </c>
      <c r="E124" s="207">
        <v>8.0860531450458406E-2</v>
      </c>
      <c r="F124" s="207">
        <v>0.3</v>
      </c>
    </row>
    <row r="125" spans="1:6" ht="16" customHeight="1">
      <c r="A125" s="32" t="s">
        <v>536</v>
      </c>
      <c r="B125" s="34" t="s">
        <v>412</v>
      </c>
      <c r="C125" s="205">
        <v>0</v>
      </c>
      <c r="D125" s="205">
        <f t="shared" si="3"/>
        <v>5.1999999999999998E-2</v>
      </c>
      <c r="E125" s="207">
        <v>0</v>
      </c>
      <c r="F125" s="207">
        <v>0.22</v>
      </c>
    </row>
    <row r="126" spans="1:6" ht="16" customHeight="1">
      <c r="A126" s="32" t="s">
        <v>537</v>
      </c>
      <c r="B126" s="34" t="s">
        <v>408</v>
      </c>
      <c r="C126" s="205">
        <v>4.2242931166147427E-2</v>
      </c>
      <c r="D126" s="205">
        <f t="shared" si="3"/>
        <v>0.10489074106349656</v>
      </c>
      <c r="E126" s="207">
        <v>5.2890741063496567E-2</v>
      </c>
      <c r="F126" s="207">
        <v>0.15</v>
      </c>
    </row>
    <row r="127" spans="1:6" ht="16" customHeight="1">
      <c r="A127" s="32" t="s">
        <v>538</v>
      </c>
      <c r="B127" s="34" t="s">
        <v>404</v>
      </c>
      <c r="C127" s="205">
        <v>7.6333717721283945E-2</v>
      </c>
      <c r="D127" s="205">
        <f t="shared" si="3"/>
        <v>0.14757449700947625</v>
      </c>
      <c r="E127" s="207">
        <v>9.5574497009476247E-2</v>
      </c>
      <c r="F127" s="207">
        <v>0.3</v>
      </c>
    </row>
    <row r="128" spans="1:6" ht="16" customHeight="1">
      <c r="A128" s="32" t="s">
        <v>539</v>
      </c>
      <c r="B128" s="34" t="s">
        <v>410</v>
      </c>
      <c r="C128" s="205">
        <v>1.8739345404531569E-2</v>
      </c>
      <c r="D128" s="205">
        <f t="shared" si="3"/>
        <v>7.5462809945460882E-2</v>
      </c>
      <c r="E128" s="207">
        <v>2.3462809945460881E-2</v>
      </c>
      <c r="F128" s="207">
        <v>0.25</v>
      </c>
    </row>
    <row r="129" spans="1:6" ht="16" customHeight="1">
      <c r="A129" s="32" t="s">
        <v>540</v>
      </c>
      <c r="B129" s="34" t="s">
        <v>419</v>
      </c>
      <c r="C129" s="205">
        <v>6.4581924840476007E-2</v>
      </c>
      <c r="D129" s="205">
        <f t="shared" si="3"/>
        <v>0.1328605314504584</v>
      </c>
      <c r="E129" s="207">
        <v>8.0860531450458406E-2</v>
      </c>
      <c r="F129" s="207">
        <v>0.3</v>
      </c>
    </row>
    <row r="130" spans="1:6" ht="16" customHeight="1">
      <c r="A130" s="32" t="s">
        <v>541</v>
      </c>
      <c r="B130" s="34" t="s">
        <v>475</v>
      </c>
      <c r="C130" s="205">
        <v>2.9326546198052229E-2</v>
      </c>
      <c r="D130" s="205">
        <f t="shared" si="3"/>
        <v>8.8718634773404886E-2</v>
      </c>
      <c r="E130" s="207">
        <v>3.6718634773404889E-2</v>
      </c>
      <c r="F130" s="207">
        <v>0.1</v>
      </c>
    </row>
    <row r="131" spans="1:6" ht="16" customHeight="1">
      <c r="A131" s="32" t="s">
        <v>542</v>
      </c>
      <c r="B131" s="34" t="s">
        <v>506</v>
      </c>
      <c r="C131" s="205">
        <v>1.408097705538248E-2</v>
      </c>
      <c r="D131" s="205">
        <f t="shared" si="3"/>
        <v>6.963024702116552E-2</v>
      </c>
      <c r="E131" s="207">
        <v>1.7630247021165519E-2</v>
      </c>
      <c r="F131" s="207">
        <v>0.29499999999999998</v>
      </c>
    </row>
    <row r="132" spans="1:6" ht="16" customHeight="1">
      <c r="A132" s="32" t="s">
        <v>543</v>
      </c>
      <c r="B132" s="34" t="s">
        <v>402</v>
      </c>
      <c r="C132" s="205">
        <v>2.2338993674328591E-2</v>
      </c>
      <c r="D132" s="205">
        <f t="shared" si="3"/>
        <v>7.9969790386961837E-2</v>
      </c>
      <c r="E132" s="207">
        <v>2.7969790386961839E-2</v>
      </c>
      <c r="F132" s="207">
        <v>0.3</v>
      </c>
    </row>
    <row r="133" spans="1:6" ht="16" customHeight="1">
      <c r="A133" s="32" t="s">
        <v>544</v>
      </c>
      <c r="B133" s="34" t="s">
        <v>429</v>
      </c>
      <c r="C133" s="205">
        <v>9.9519687459094178E-3</v>
      </c>
      <c r="D133" s="205">
        <f t="shared" ref="D133:D164" si="4">$B$1+E133</f>
        <v>6.4460475338267362E-2</v>
      </c>
      <c r="E133" s="207">
        <v>1.2460475338267361E-2</v>
      </c>
      <c r="F133" s="207">
        <v>0.19</v>
      </c>
    </row>
    <row r="134" spans="1:6" ht="16" customHeight="1">
      <c r="A134" s="32" t="s">
        <v>545</v>
      </c>
      <c r="B134" s="34" t="s">
        <v>484</v>
      </c>
      <c r="C134" s="205">
        <v>2.5832769936190408E-2</v>
      </c>
      <c r="D134" s="205">
        <f t="shared" si="4"/>
        <v>8.4344212580183348E-2</v>
      </c>
      <c r="E134" s="207">
        <v>3.2344212580183357E-2</v>
      </c>
      <c r="F134" s="207">
        <v>0.21</v>
      </c>
    </row>
    <row r="135" spans="1:6" ht="16" customHeight="1">
      <c r="A135" s="32" t="s">
        <v>546</v>
      </c>
      <c r="B135" s="34" t="s">
        <v>425</v>
      </c>
      <c r="C135" s="205">
        <v>7.0934245316588403E-3</v>
      </c>
      <c r="D135" s="205">
        <f t="shared" si="4"/>
        <v>6.0881402634722477E-2</v>
      </c>
      <c r="E135" s="207">
        <v>8.8814026347224795E-3</v>
      </c>
      <c r="F135" s="207">
        <v>0.1</v>
      </c>
    </row>
    <row r="136" spans="1:6" ht="16" customHeight="1">
      <c r="A136" s="32" t="s">
        <v>547</v>
      </c>
      <c r="B136" s="34" t="s">
        <v>429</v>
      </c>
      <c r="C136" s="205">
        <v>9.9519687459094178E-3</v>
      </c>
      <c r="D136" s="205">
        <f t="shared" si="4"/>
        <v>6.4460475338267362E-2</v>
      </c>
      <c r="E136" s="207">
        <v>1.2460475338267361E-2</v>
      </c>
      <c r="F136" s="207">
        <v>0</v>
      </c>
    </row>
    <row r="137" spans="1:6" ht="16" customHeight="1">
      <c r="A137" s="32" t="s">
        <v>548</v>
      </c>
      <c r="B137" s="34" t="s">
        <v>484</v>
      </c>
      <c r="C137" s="205">
        <v>2.5832769936190408E-2</v>
      </c>
      <c r="D137" s="205">
        <f t="shared" si="4"/>
        <v>8.4344212580183348E-2</v>
      </c>
      <c r="E137" s="207">
        <v>3.2344212580183357E-2</v>
      </c>
      <c r="F137" s="207">
        <v>0.16</v>
      </c>
    </row>
    <row r="138" spans="1:6" ht="16" customHeight="1">
      <c r="A138" s="32" t="s">
        <v>549</v>
      </c>
      <c r="B138" s="34" t="s">
        <v>484</v>
      </c>
      <c r="C138" s="205">
        <v>2.5832769936190408E-2</v>
      </c>
      <c r="D138" s="205">
        <f t="shared" si="4"/>
        <v>8.4344212580183348E-2</v>
      </c>
      <c r="E138" s="207">
        <v>3.2344212580183357E-2</v>
      </c>
      <c r="F138" s="207">
        <v>0.2</v>
      </c>
    </row>
    <row r="139" spans="1:6" ht="16" customHeight="1">
      <c r="A139" s="32" t="s">
        <v>550</v>
      </c>
      <c r="B139" s="34" t="s">
        <v>419</v>
      </c>
      <c r="C139" s="205">
        <v>6.4581924840476007E-2</v>
      </c>
      <c r="D139" s="205">
        <f t="shared" si="4"/>
        <v>0.1328605314504584</v>
      </c>
      <c r="E139" s="207">
        <v>8.0860531450458406E-2</v>
      </c>
      <c r="F139" s="207">
        <v>0.3</v>
      </c>
    </row>
    <row r="140" spans="1:6" ht="16" customHeight="1">
      <c r="A140" s="32" t="s">
        <v>551</v>
      </c>
      <c r="B140" s="34" t="s">
        <v>443</v>
      </c>
      <c r="C140" s="205">
        <v>8.2580166189461131E-3</v>
      </c>
      <c r="D140" s="205">
        <f t="shared" si="4"/>
        <v>6.2339543365796321E-2</v>
      </c>
      <c r="E140" s="207">
        <v>1.033954336579632E-2</v>
      </c>
      <c r="F140" s="207">
        <v>0.2</v>
      </c>
    </row>
    <row r="141" spans="1:6" ht="16" customHeight="1">
      <c r="A141" s="32" t="s">
        <v>552</v>
      </c>
      <c r="B141" s="34" t="s">
        <v>408</v>
      </c>
      <c r="C141" s="205">
        <v>4.2242931166147427E-2</v>
      </c>
      <c r="D141" s="205">
        <f t="shared" si="4"/>
        <v>0.10489074106349656</v>
      </c>
      <c r="E141" s="207">
        <v>5.2890741063496567E-2</v>
      </c>
      <c r="F141" s="207">
        <v>0.3</v>
      </c>
    </row>
    <row r="142" spans="1:6" ht="16" customHeight="1">
      <c r="A142" s="32" t="s">
        <v>553</v>
      </c>
      <c r="B142" s="34" t="s">
        <v>408</v>
      </c>
      <c r="C142" s="205">
        <v>4.2242931166147427E-2</v>
      </c>
      <c r="D142" s="205">
        <f t="shared" si="4"/>
        <v>0.10489074106349656</v>
      </c>
      <c r="E142" s="207">
        <v>5.2890741063496567E-2</v>
      </c>
      <c r="F142" s="207">
        <v>0.15</v>
      </c>
    </row>
    <row r="143" spans="1:6" ht="16" customHeight="1">
      <c r="A143" s="32" t="s">
        <v>554</v>
      </c>
      <c r="B143" s="34" t="s">
        <v>402</v>
      </c>
      <c r="C143" s="205">
        <v>2.2338993674328591E-2</v>
      </c>
      <c r="D143" s="205">
        <f t="shared" si="4"/>
        <v>7.9969790386961837E-2</v>
      </c>
      <c r="E143" s="207">
        <v>2.7969790386961839E-2</v>
      </c>
      <c r="F143" s="207">
        <v>0</v>
      </c>
    </row>
    <row r="144" spans="1:6" ht="16" customHeight="1">
      <c r="A144" s="206" t="s">
        <v>555</v>
      </c>
      <c r="B144" s="110" t="s">
        <v>188</v>
      </c>
      <c r="C144" s="159">
        <v>0.1056602639193361</v>
      </c>
      <c r="D144" s="205">
        <f t="shared" si="4"/>
        <v>0.18429313178288109</v>
      </c>
      <c r="E144" s="159">
        <v>0.1322931317828811</v>
      </c>
      <c r="F144" s="159">
        <v>0.3</v>
      </c>
    </row>
    <row r="145" spans="1:6" ht="16" customHeight="1">
      <c r="A145" s="32" t="s">
        <v>556</v>
      </c>
      <c r="B145" s="34" t="s">
        <v>412</v>
      </c>
      <c r="C145" s="205">
        <v>0</v>
      </c>
      <c r="D145" s="205">
        <f t="shared" si="4"/>
        <v>5.1999999999999998E-2</v>
      </c>
      <c r="E145" s="207">
        <v>0</v>
      </c>
      <c r="F145" s="207">
        <v>0.17</v>
      </c>
    </row>
    <row r="146" spans="1:6" ht="16" customHeight="1">
      <c r="A146" s="32" t="s">
        <v>557</v>
      </c>
      <c r="B146" s="34" t="s">
        <v>429</v>
      </c>
      <c r="C146" s="205">
        <v>9.9519687459094178E-3</v>
      </c>
      <c r="D146" s="205">
        <f t="shared" si="4"/>
        <v>6.4460475338267362E-2</v>
      </c>
      <c r="E146" s="207">
        <v>1.2460475338267361E-2</v>
      </c>
      <c r="F146" s="207">
        <v>0.21</v>
      </c>
    </row>
    <row r="147" spans="1:6" ht="16" customHeight="1">
      <c r="A147" s="32" t="s">
        <v>558</v>
      </c>
      <c r="B147" s="34" t="s">
        <v>410</v>
      </c>
      <c r="C147" s="205">
        <v>1.8739345404531569E-2</v>
      </c>
      <c r="D147" s="205">
        <f t="shared" si="4"/>
        <v>7.5462809945460882E-2</v>
      </c>
      <c r="E147" s="207">
        <v>2.3462809945460881E-2</v>
      </c>
      <c r="F147" s="207">
        <v>0.19</v>
      </c>
    </row>
    <row r="148" spans="1:6" ht="16" customHeight="1">
      <c r="A148" s="32" t="s">
        <v>559</v>
      </c>
      <c r="B148" s="34" t="s">
        <v>404</v>
      </c>
      <c r="C148" s="205">
        <v>7.6333717721283945E-2</v>
      </c>
      <c r="D148" s="205">
        <f t="shared" si="4"/>
        <v>0.14757449700947625</v>
      </c>
      <c r="E148" s="207">
        <v>9.5574497009476247E-2</v>
      </c>
      <c r="F148" s="207">
        <v>0.3</v>
      </c>
    </row>
    <row r="149" spans="1:6" ht="16" customHeight="1">
      <c r="A149" s="206" t="s">
        <v>560</v>
      </c>
      <c r="B149" s="110" t="s">
        <v>188</v>
      </c>
      <c r="C149" s="159">
        <v>0.14080977055382479</v>
      </c>
      <c r="D149" s="205">
        <f t="shared" si="4"/>
        <v>0.2283024702116552</v>
      </c>
      <c r="E149" s="159">
        <v>0.17630247021165521</v>
      </c>
      <c r="F149" s="159">
        <v>0.29149999999999998</v>
      </c>
    </row>
    <row r="150" spans="1:6" ht="16" customHeight="1">
      <c r="A150" s="32" t="s">
        <v>561</v>
      </c>
      <c r="B150" s="34" t="s">
        <v>475</v>
      </c>
      <c r="C150" s="205">
        <v>2.9326546198052229E-2</v>
      </c>
      <c r="D150" s="205">
        <f t="shared" si="4"/>
        <v>8.8718634773404886E-2</v>
      </c>
      <c r="E150" s="207">
        <v>3.6718634773404889E-2</v>
      </c>
      <c r="F150" s="207">
        <v>0.28000000000000003</v>
      </c>
    </row>
    <row r="151" spans="1:6" ht="16" customHeight="1">
      <c r="A151" s="32" t="s">
        <v>562</v>
      </c>
      <c r="B151" s="34" t="s">
        <v>410</v>
      </c>
      <c r="C151" s="205">
        <v>1.8739345404531569E-2</v>
      </c>
      <c r="D151" s="205">
        <f t="shared" si="4"/>
        <v>7.5462809945460882E-2</v>
      </c>
      <c r="E151" s="207">
        <v>2.3462809945460881E-2</v>
      </c>
      <c r="F151" s="207">
        <v>0.25</v>
      </c>
    </row>
    <row r="152" spans="1:6" ht="16" customHeight="1">
      <c r="A152" s="32" t="s">
        <v>563</v>
      </c>
      <c r="B152" s="34" t="s">
        <v>419</v>
      </c>
      <c r="C152" s="205">
        <v>6.4581924840476007E-2</v>
      </c>
      <c r="D152" s="205">
        <f t="shared" si="4"/>
        <v>0.1328605314504584</v>
      </c>
      <c r="E152" s="207">
        <v>8.0860531450458406E-2</v>
      </c>
      <c r="F152" s="207">
        <v>0.28000000000000003</v>
      </c>
    </row>
    <row r="153" spans="1:6" ht="16" customHeight="1">
      <c r="A153" s="32" t="s">
        <v>564</v>
      </c>
      <c r="B153" s="34" t="s">
        <v>484</v>
      </c>
      <c r="C153" s="205">
        <v>2.5832769936190408E-2</v>
      </c>
      <c r="D153" s="205">
        <f t="shared" si="4"/>
        <v>8.4344212580183348E-2</v>
      </c>
      <c r="E153" s="207">
        <v>3.2344212580183357E-2</v>
      </c>
      <c r="F153" s="207">
        <v>0.35</v>
      </c>
    </row>
    <row r="154" spans="1:6" ht="16" customHeight="1">
      <c r="A154" s="32" t="s">
        <v>565</v>
      </c>
      <c r="B154" s="34" t="s">
        <v>404</v>
      </c>
      <c r="C154" s="205">
        <v>7.6333717721283945E-2</v>
      </c>
      <c r="D154" s="205">
        <f t="shared" si="4"/>
        <v>0.14757449700947625</v>
      </c>
      <c r="E154" s="207">
        <v>9.5574497009476247E-2</v>
      </c>
      <c r="F154" s="207">
        <v>0.3</v>
      </c>
    </row>
    <row r="155" spans="1:6" ht="16" customHeight="1">
      <c r="A155" s="206" t="s">
        <v>566</v>
      </c>
      <c r="B155" s="110" t="s">
        <v>188</v>
      </c>
      <c r="C155" s="159">
        <v>0.17499999999999999</v>
      </c>
      <c r="D155" s="205">
        <f t="shared" si="4"/>
        <v>0.2711107347571885</v>
      </c>
      <c r="E155" s="159">
        <v>0.21911073475718851</v>
      </c>
      <c r="F155" s="159">
        <v>0.35</v>
      </c>
    </row>
    <row r="156" spans="1:6" ht="16" customHeight="1">
      <c r="A156" s="32" t="s">
        <v>567</v>
      </c>
      <c r="B156" s="34" t="s">
        <v>404</v>
      </c>
      <c r="C156" s="205">
        <v>7.6333717721283945E-2</v>
      </c>
      <c r="D156" s="205">
        <f t="shared" si="4"/>
        <v>0.14757449700947625</v>
      </c>
      <c r="E156" s="207">
        <v>9.5574497009476247E-2</v>
      </c>
      <c r="F156" s="207">
        <v>0.36</v>
      </c>
    </row>
    <row r="157" spans="1:6" ht="16" customHeight="1">
      <c r="A157" s="32" t="s">
        <v>568</v>
      </c>
      <c r="B157" s="34" t="s">
        <v>419</v>
      </c>
      <c r="C157" s="205">
        <v>6.4581924840476007E-2</v>
      </c>
      <c r="D157" s="205">
        <f t="shared" si="4"/>
        <v>0.1328605314504584</v>
      </c>
      <c r="E157" s="207">
        <v>8.0860531450458406E-2</v>
      </c>
      <c r="F157" s="207">
        <v>0.27500000000000002</v>
      </c>
    </row>
    <row r="158" spans="1:6" ht="16" customHeight="1">
      <c r="A158" s="32" t="s">
        <v>569</v>
      </c>
      <c r="B158" s="34" t="s">
        <v>412</v>
      </c>
      <c r="C158" s="205">
        <v>0</v>
      </c>
      <c r="D158" s="205">
        <f t="shared" si="4"/>
        <v>5.1999999999999998E-2</v>
      </c>
      <c r="E158" s="207">
        <v>0</v>
      </c>
      <c r="F158" s="207">
        <v>0.214</v>
      </c>
    </row>
    <row r="159" spans="1:6" ht="16" customHeight="1">
      <c r="A159" s="32" t="s">
        <v>570</v>
      </c>
      <c r="B159" s="34" t="s">
        <v>412</v>
      </c>
      <c r="C159" s="205">
        <v>0</v>
      </c>
      <c r="D159" s="205">
        <f t="shared" si="4"/>
        <v>5.1999999999999998E-2</v>
      </c>
      <c r="E159" s="207">
        <v>0</v>
      </c>
      <c r="F159" s="207">
        <v>0.18</v>
      </c>
    </row>
    <row r="160" spans="1:6" ht="16" customHeight="1">
      <c r="A160" s="206" t="s">
        <v>571</v>
      </c>
      <c r="B160" s="110" t="s">
        <v>188</v>
      </c>
      <c r="C160" s="159">
        <v>0.14080977055382479</v>
      </c>
      <c r="D160" s="205">
        <f t="shared" si="4"/>
        <v>0.2283024702116552</v>
      </c>
      <c r="E160" s="159">
        <v>0.17630247021165521</v>
      </c>
      <c r="F160" s="159">
        <v>0.28000000000000003</v>
      </c>
    </row>
    <row r="161" spans="1:6" ht="16" customHeight="1">
      <c r="A161" s="32" t="s">
        <v>572</v>
      </c>
      <c r="B161" s="34" t="s">
        <v>425</v>
      </c>
      <c r="C161" s="205">
        <v>7.0934245316588403E-3</v>
      </c>
      <c r="D161" s="205">
        <f t="shared" si="4"/>
        <v>6.0881402634722477E-2</v>
      </c>
      <c r="E161" s="207">
        <v>8.8814026347224795E-3</v>
      </c>
      <c r="F161" s="207">
        <v>0.2</v>
      </c>
    </row>
    <row r="162" spans="1:6" ht="16" customHeight="1">
      <c r="A162" s="32" t="s">
        <v>573</v>
      </c>
      <c r="B162" s="34" t="s">
        <v>404</v>
      </c>
      <c r="C162" s="205">
        <v>7.6333717721283945E-2</v>
      </c>
      <c r="D162" s="205">
        <f t="shared" si="4"/>
        <v>0.14757449700947625</v>
      </c>
      <c r="E162" s="207">
        <v>9.5574497009476247E-2</v>
      </c>
      <c r="F162" s="207">
        <v>0.3019</v>
      </c>
    </row>
    <row r="163" spans="1:6" ht="16" customHeight="1">
      <c r="A163" s="32" t="s">
        <v>574</v>
      </c>
      <c r="B163" s="34" t="s">
        <v>399</v>
      </c>
      <c r="C163" s="205">
        <v>5.2830131959668077E-2</v>
      </c>
      <c r="D163" s="205">
        <f t="shared" si="4"/>
        <v>0.11814656589144057</v>
      </c>
      <c r="E163" s="207">
        <v>6.6146565891440565E-2</v>
      </c>
      <c r="F163" s="207">
        <v>0.3</v>
      </c>
    </row>
    <row r="164" spans="1:6" ht="16" customHeight="1">
      <c r="A164" s="32" t="s">
        <v>575</v>
      </c>
      <c r="B164" s="34" t="s">
        <v>410</v>
      </c>
      <c r="C164" s="205">
        <v>1.8739345404531569E-2</v>
      </c>
      <c r="D164" s="205">
        <f t="shared" si="4"/>
        <v>7.5462809945460882E-2</v>
      </c>
      <c r="E164" s="207">
        <v>2.3462809945460881E-2</v>
      </c>
      <c r="F164" s="207">
        <v>0.2</v>
      </c>
    </row>
    <row r="165" spans="1:6" ht="16" customHeight="1">
      <c r="A165" s="32" t="s">
        <v>576</v>
      </c>
      <c r="B165" s="34" t="s">
        <v>404</v>
      </c>
      <c r="C165" s="205">
        <v>7.6333717721283945E-2</v>
      </c>
      <c r="D165" s="205">
        <f t="shared" ref="D165:D181" si="5">$B$1+E165</f>
        <v>0.14757449700947625</v>
      </c>
      <c r="E165" s="207">
        <v>9.5574497009476247E-2</v>
      </c>
      <c r="F165" s="207">
        <v>0.3236</v>
      </c>
    </row>
    <row r="166" spans="1:6" ht="16" customHeight="1">
      <c r="A166" s="32" t="s">
        <v>577</v>
      </c>
      <c r="B166" s="34" t="s">
        <v>475</v>
      </c>
      <c r="C166" s="205">
        <v>2.9326546198052229E-2</v>
      </c>
      <c r="D166" s="205">
        <f t="shared" si="5"/>
        <v>8.8718634773404886E-2</v>
      </c>
      <c r="E166" s="207">
        <v>3.6718634773404889E-2</v>
      </c>
      <c r="F166" s="207">
        <v>0.25</v>
      </c>
    </row>
    <row r="167" spans="1:6" ht="16" customHeight="1">
      <c r="A167" s="32" t="s">
        <v>578</v>
      </c>
      <c r="B167" s="34" t="s">
        <v>419</v>
      </c>
      <c r="C167" s="205">
        <v>6.4581924840476007E-2</v>
      </c>
      <c r="D167" s="205">
        <f t="shared" si="5"/>
        <v>0.1328605314504584</v>
      </c>
      <c r="E167" s="207">
        <v>8.0860531450458406E-2</v>
      </c>
      <c r="F167" s="207">
        <v>0.25</v>
      </c>
    </row>
    <row r="168" spans="1:6" ht="16" customHeight="1">
      <c r="A168" s="32" t="s">
        <v>579</v>
      </c>
      <c r="B168" s="34" t="s">
        <v>399</v>
      </c>
      <c r="C168" s="205">
        <v>5.2830131959668077E-2</v>
      </c>
      <c r="D168" s="205">
        <f t="shared" si="5"/>
        <v>0.11814656589144057</v>
      </c>
      <c r="E168" s="207">
        <v>6.6146565891440565E-2</v>
      </c>
      <c r="F168" s="207">
        <v>0.22</v>
      </c>
    </row>
    <row r="169" spans="1:6" ht="16" customHeight="1">
      <c r="A169" s="32" t="s">
        <v>580</v>
      </c>
      <c r="B169" s="34" t="s">
        <v>410</v>
      </c>
      <c r="C169" s="205">
        <v>1.8739345404531569E-2</v>
      </c>
      <c r="D169" s="205">
        <f t="shared" si="5"/>
        <v>7.5462809945460882E-2</v>
      </c>
      <c r="E169" s="207">
        <v>2.3462809945460881E-2</v>
      </c>
      <c r="F169" s="207">
        <v>0</v>
      </c>
    </row>
    <row r="170" spans="1:6" ht="16" customHeight="1">
      <c r="A170" s="32" t="s">
        <v>581</v>
      </c>
      <c r="B170" s="34" t="s">
        <v>419</v>
      </c>
      <c r="C170" s="205">
        <v>6.4581924840476007E-2</v>
      </c>
      <c r="D170" s="205">
        <f t="shared" si="5"/>
        <v>0.1328605314504584</v>
      </c>
      <c r="E170" s="207">
        <v>8.0860531450458406E-2</v>
      </c>
      <c r="F170" s="207">
        <v>0.3</v>
      </c>
    </row>
    <row r="171" spans="1:6" ht="16" customHeight="1">
      <c r="A171" s="32" t="s">
        <v>582</v>
      </c>
      <c r="B171" s="34" t="s">
        <v>404</v>
      </c>
      <c r="C171" s="205">
        <v>7.6333717721283945E-2</v>
      </c>
      <c r="D171" s="205">
        <f t="shared" si="5"/>
        <v>0.14757449700947625</v>
      </c>
      <c r="E171" s="207">
        <v>9.5574497009476247E-2</v>
      </c>
      <c r="F171" s="207">
        <v>0.18</v>
      </c>
    </row>
    <row r="172" spans="1:6" ht="16" customHeight="1">
      <c r="A172" s="32" t="s">
        <v>583</v>
      </c>
      <c r="B172" s="34" t="s">
        <v>397</v>
      </c>
      <c r="C172" s="205">
        <v>5.8229604364363613E-3</v>
      </c>
      <c r="D172" s="205">
        <f t="shared" si="5"/>
        <v>5.9290703655369197E-2</v>
      </c>
      <c r="E172" s="207">
        <v>7.2907036553691998E-3</v>
      </c>
      <c r="F172" s="207">
        <v>0.55000000000000004</v>
      </c>
    </row>
    <row r="173" spans="1:6" ht="16" customHeight="1">
      <c r="A173" s="32" t="s">
        <v>584</v>
      </c>
      <c r="B173" s="34" t="s">
        <v>397</v>
      </c>
      <c r="C173" s="205">
        <v>5.8229604364363613E-3</v>
      </c>
      <c r="D173" s="205">
        <f t="shared" si="5"/>
        <v>5.9290703655369197E-2</v>
      </c>
      <c r="E173" s="207">
        <v>7.2907036553691998E-3</v>
      </c>
      <c r="F173" s="207">
        <v>0.19</v>
      </c>
    </row>
    <row r="174" spans="1:6" ht="16" customHeight="1">
      <c r="A174" s="32" t="s">
        <v>9</v>
      </c>
      <c r="B174" s="34" t="s">
        <v>412</v>
      </c>
      <c r="C174" s="205">
        <v>0</v>
      </c>
      <c r="D174" s="205">
        <f t="shared" si="5"/>
        <v>5.1999999999999998E-2</v>
      </c>
      <c r="E174" s="207">
        <v>0</v>
      </c>
      <c r="F174" s="207">
        <v>0.25</v>
      </c>
    </row>
    <row r="175" spans="1:6" ht="16" customHeight="1">
      <c r="A175" s="32" t="s">
        <v>585</v>
      </c>
      <c r="B175" s="34" t="s">
        <v>402</v>
      </c>
      <c r="C175" s="205">
        <v>2.2338993674328591E-2</v>
      </c>
      <c r="D175" s="205">
        <f t="shared" si="5"/>
        <v>7.9969790386961837E-2</v>
      </c>
      <c r="E175" s="207">
        <v>2.7969790386961839E-2</v>
      </c>
      <c r="F175" s="207">
        <v>0.25</v>
      </c>
    </row>
    <row r="176" spans="1:6" ht="16" customHeight="1">
      <c r="A176" s="32" t="s">
        <v>586</v>
      </c>
      <c r="B176" s="34" t="s">
        <v>399</v>
      </c>
      <c r="C176" s="205">
        <v>5.2830131959668077E-2</v>
      </c>
      <c r="D176" s="205">
        <f t="shared" si="5"/>
        <v>0.11814656589144057</v>
      </c>
      <c r="E176" s="207">
        <v>6.6146565891440565E-2</v>
      </c>
      <c r="F176" s="207">
        <v>7.4999999999999997E-2</v>
      </c>
    </row>
    <row r="177" spans="1:6" ht="16" customHeight="1">
      <c r="A177" s="32" t="s">
        <v>587</v>
      </c>
      <c r="B177" s="34" t="s">
        <v>588</v>
      </c>
      <c r="C177" s="205">
        <v>0.17499999999999999</v>
      </c>
      <c r="D177" s="205">
        <f t="shared" si="5"/>
        <v>0.2711107347571885</v>
      </c>
      <c r="E177" s="207">
        <v>0.21911073475718851</v>
      </c>
      <c r="F177" s="207">
        <v>0.34</v>
      </c>
    </row>
    <row r="178" spans="1:6" ht="16" customHeight="1">
      <c r="A178" s="32" t="s">
        <v>589</v>
      </c>
      <c r="B178" s="34" t="s">
        <v>408</v>
      </c>
      <c r="C178" s="205">
        <v>4.2242931166147427E-2</v>
      </c>
      <c r="D178" s="205">
        <f t="shared" si="5"/>
        <v>0.10489074106349656</v>
      </c>
      <c r="E178" s="207">
        <v>5.2890741063496567E-2</v>
      </c>
      <c r="F178" s="207">
        <v>0.2</v>
      </c>
    </row>
    <row r="179" spans="1:6" ht="16" customHeight="1">
      <c r="A179" s="206" t="s">
        <v>590</v>
      </c>
      <c r="B179" s="110" t="s">
        <v>188</v>
      </c>
      <c r="C179" s="159">
        <v>0.17499999999999999</v>
      </c>
      <c r="D179" s="205">
        <f t="shared" si="5"/>
        <v>0.2711107347571885</v>
      </c>
      <c r="E179" s="159">
        <v>0.21911073475718851</v>
      </c>
      <c r="F179" s="159">
        <v>0.2</v>
      </c>
    </row>
    <row r="180" spans="1:6" ht="16" customHeight="1">
      <c r="A180" s="32" t="s">
        <v>591</v>
      </c>
      <c r="B180" s="34" t="s">
        <v>406</v>
      </c>
      <c r="C180" s="205">
        <v>0.14080977055382479</v>
      </c>
      <c r="D180" s="205">
        <f t="shared" si="5"/>
        <v>0.2283024702116552</v>
      </c>
      <c r="E180" s="207">
        <v>0.17630247021165521</v>
      </c>
      <c r="F180" s="207">
        <v>0.35</v>
      </c>
    </row>
    <row r="181" spans="1:6" ht="16" customHeight="1">
      <c r="A181" s="206" t="s">
        <v>592</v>
      </c>
      <c r="B181" s="110" t="s">
        <v>188</v>
      </c>
      <c r="C181" s="159">
        <v>0.14080977055382479</v>
      </c>
      <c r="D181" s="205">
        <f t="shared" si="5"/>
        <v>0.2283024702116552</v>
      </c>
      <c r="E181" s="159">
        <v>0.17630247021165521</v>
      </c>
      <c r="F181" s="159">
        <v>0.25</v>
      </c>
    </row>
    <row r="184" spans="1:6">
      <c r="A184" s="139"/>
      <c r="B184" s="200" t="s">
        <v>322</v>
      </c>
      <c r="C184" s="200" t="s">
        <v>593</v>
      </c>
      <c r="D184" s="200" t="s">
        <v>117</v>
      </c>
      <c r="E184" s="200" t="s">
        <v>594</v>
      </c>
    </row>
    <row r="185" spans="1:6">
      <c r="A185" s="1" t="s">
        <v>347</v>
      </c>
      <c r="B185" s="3">
        <f t="shared" ref="B185:B193" si="6">$B$1+E185</f>
        <v>0.12393055515219112</v>
      </c>
      <c r="C185" s="3">
        <v>5.7449705353701148E-2</v>
      </c>
      <c r="D185" s="3">
        <v>0.28491627824785848</v>
      </c>
      <c r="E185" s="3">
        <v>7.1930555152191114E-2</v>
      </c>
    </row>
    <row r="186" spans="1:6">
      <c r="A186" s="1" t="s">
        <v>349</v>
      </c>
      <c r="B186" s="3">
        <f t="shared" si="6"/>
        <v>6.7548639425947937E-2</v>
      </c>
      <c r="C186" s="3">
        <v>1.2418432636612841E-2</v>
      </c>
      <c r="D186" s="3">
        <v>0.26117492980590951</v>
      </c>
      <c r="E186" s="3">
        <v>1.554863942594794E-2</v>
      </c>
    </row>
    <row r="187" spans="1:6">
      <c r="A187" s="1" t="s">
        <v>352</v>
      </c>
      <c r="B187" s="3">
        <f t="shared" si="6"/>
        <v>5.2048399092075065E-2</v>
      </c>
      <c r="C187" s="3">
        <v>3.865552786595667E-5</v>
      </c>
      <c r="D187" s="3">
        <v>0.29748948329622288</v>
      </c>
      <c r="E187" s="3">
        <v>4.8399092075067082E-5</v>
      </c>
    </row>
    <row r="188" spans="1:6">
      <c r="A188" s="1" t="s">
        <v>354</v>
      </c>
      <c r="B188" s="3">
        <f t="shared" si="6"/>
        <v>0.13336240608476521</v>
      </c>
      <c r="C188" s="3">
        <v>6.4982763535581578E-2</v>
      </c>
      <c r="D188" s="3">
        <v>0.2388078438182703</v>
      </c>
      <c r="E188" s="3">
        <v>8.1362406084765221E-2</v>
      </c>
    </row>
    <row r="189" spans="1:6">
      <c r="A189" s="1" t="s">
        <v>355</v>
      </c>
      <c r="B189" s="3">
        <f t="shared" si="6"/>
        <v>0.10667565534475423</v>
      </c>
      <c r="C189" s="3">
        <v>4.3668511704527888E-2</v>
      </c>
      <c r="D189" s="3">
        <v>0.30956473496523379</v>
      </c>
      <c r="E189" s="3">
        <v>5.4675655344754229E-2</v>
      </c>
    </row>
    <row r="190" spans="1:6">
      <c r="A190" s="1" t="s">
        <v>357</v>
      </c>
      <c r="B190" s="3">
        <f t="shared" si="6"/>
        <v>8.386283221816862E-2</v>
      </c>
      <c r="C190" s="3">
        <v>2.5448299666187731E-2</v>
      </c>
      <c r="D190" s="3">
        <v>0.18359794253833481</v>
      </c>
      <c r="E190" s="3">
        <v>3.1862832218168623E-2</v>
      </c>
    </row>
    <row r="191" spans="1:6">
      <c r="A191" s="1" t="s">
        <v>358</v>
      </c>
      <c r="B191" s="3">
        <f t="shared" si="6"/>
        <v>7.6737844888540324E-2</v>
      </c>
      <c r="C191" s="3">
        <v>1.9757694027597281E-2</v>
      </c>
      <c r="D191" s="3">
        <v>0.27365796295286732</v>
      </c>
      <c r="E191" s="3">
        <v>2.473784488854032E-2</v>
      </c>
    </row>
    <row r="192" spans="1:6">
      <c r="A192" s="1" t="s">
        <v>360</v>
      </c>
      <c r="B192" s="3">
        <f t="shared" si="6"/>
        <v>5.1999999999999998E-2</v>
      </c>
      <c r="C192" s="3">
        <v>0</v>
      </c>
      <c r="D192" s="3">
        <v>0.25115466300229849</v>
      </c>
      <c r="E192" s="3">
        <v>0</v>
      </c>
    </row>
    <row r="193" spans="1:5">
      <c r="A193" s="1" t="s">
        <v>362</v>
      </c>
      <c r="B193" s="3">
        <f t="shared" si="6"/>
        <v>6.4080333576250564E-2</v>
      </c>
      <c r="C193" s="3">
        <v>9.6483560159048385E-3</v>
      </c>
      <c r="D193" s="3">
        <v>0.25037012452417923</v>
      </c>
      <c r="E193" s="3">
        <v>1.208033357625056E-2</v>
      </c>
    </row>
    <row r="194" spans="1:5">
      <c r="A194" s="1"/>
      <c r="C194" s="190"/>
    </row>
    <row r="195" spans="1:5">
      <c r="A195" s="1" t="s">
        <v>595</v>
      </c>
      <c r="B195" s="3">
        <f>$B$1+E195</f>
        <v>6.7299999999999999E-2</v>
      </c>
      <c r="C195" s="3">
        <v>1.2200000000000001E-2</v>
      </c>
      <c r="D195" s="3">
        <v>0.25700000000000001</v>
      </c>
      <c r="E195" s="3">
        <v>1.5299999999999999E-2</v>
      </c>
    </row>
  </sheetData>
  <pageMargins left="0.75" right="0.75" top="1" bottom="1" header="0.5" footer="0.5"/>
  <pageSetup orientation="portrait" horizontalDpi="4294967292" verticalDpi="4294967292"/>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3"/>
  <sheetViews>
    <sheetView workbookViewId="0">
      <selection activeCell="E9" sqref="E9"/>
    </sheetView>
  </sheetViews>
  <sheetFormatPr baseColWidth="10" defaultRowHeight="13"/>
  <sheetData>
    <row r="1" spans="1:10" ht="19" customHeight="1">
      <c r="A1" s="6" t="s">
        <v>596</v>
      </c>
    </row>
    <row r="2" spans="1:10" ht="19" customHeight="1">
      <c r="A2" s="6" t="s">
        <v>597</v>
      </c>
    </row>
    <row r="3" spans="1:10" s="67" customFormat="1" ht="18" customHeight="1" thickBot="1">
      <c r="A3" s="66" t="s">
        <v>598</v>
      </c>
    </row>
    <row r="4" spans="1:10" s="68" customFormat="1" ht="15" customHeight="1" thickBot="1">
      <c r="A4" s="56" t="s">
        <v>599</v>
      </c>
      <c r="B4" s="56"/>
      <c r="C4" s="131">
        <f>'Cost of capital worksheet'!B24</f>
        <v>1</v>
      </c>
      <c r="D4" s="56"/>
      <c r="E4" s="56"/>
      <c r="F4" s="56"/>
      <c r="G4" s="56"/>
      <c r="H4" s="56"/>
      <c r="I4" s="56"/>
      <c r="J4" s="56"/>
    </row>
    <row r="5" spans="1:10" s="68" customFormat="1" ht="15" customHeight="1" thickBot="1">
      <c r="A5" s="56" t="s">
        <v>600</v>
      </c>
      <c r="B5" s="56"/>
      <c r="C5" s="56"/>
      <c r="D5" s="56"/>
      <c r="E5" s="56"/>
      <c r="F5" s="323">
        <f>IF('Input sheet'!B14="Yes",'Input sheet'!B9+'Operating lease converter'!F32,'Input sheet'!B9)</f>
        <v>6255</v>
      </c>
      <c r="G5" s="56" t="s">
        <v>601</v>
      </c>
      <c r="H5" s="56"/>
      <c r="I5" s="56"/>
      <c r="J5" s="56"/>
    </row>
    <row r="6" spans="1:10" s="68" customFormat="1" ht="15" customHeight="1" thickBot="1">
      <c r="A6" s="56" t="s">
        <v>602</v>
      </c>
      <c r="B6" s="56"/>
      <c r="C6" s="56"/>
      <c r="D6" s="56"/>
      <c r="E6" s="56"/>
      <c r="F6" s="328">
        <f>IF('Input sheet'!B14="Yes",'Cost of capital worksheet'!B19+'Operating lease converter'!C28*'Operating lease converter'!C15,'Cost of capital worksheet'!B19)</f>
        <v>602</v>
      </c>
      <c r="G6" s="56" t="s">
        <v>603</v>
      </c>
      <c r="H6" s="56"/>
      <c r="I6" s="56"/>
      <c r="J6" s="56"/>
    </row>
    <row r="7" spans="1:10" s="68" customFormat="1" ht="15" customHeight="1" thickBot="1">
      <c r="A7" s="56" t="s">
        <v>604</v>
      </c>
      <c r="B7" s="56"/>
      <c r="C7" s="56"/>
      <c r="D7" s="56"/>
      <c r="E7" s="56"/>
      <c r="F7" s="76">
        <f>'Input sheet'!B30</f>
        <v>8.0000000000000002E-3</v>
      </c>
      <c r="G7" s="56"/>
      <c r="H7" s="56"/>
      <c r="I7" s="56"/>
      <c r="J7" s="56"/>
    </row>
    <row r="8" spans="1:10" s="68" customFormat="1" ht="15" customHeight="1" thickBot="1">
      <c r="A8" s="54" t="s">
        <v>251</v>
      </c>
      <c r="B8" s="56"/>
      <c r="C8" s="56"/>
      <c r="D8" s="56"/>
      <c r="E8" s="56"/>
      <c r="F8" s="56"/>
      <c r="G8" s="56"/>
      <c r="H8" s="56"/>
      <c r="I8" s="56"/>
      <c r="J8" s="56"/>
    </row>
    <row r="9" spans="1:10" s="68" customFormat="1" ht="15" customHeight="1" thickBot="1">
      <c r="A9" s="56" t="s">
        <v>605</v>
      </c>
      <c r="B9" s="56"/>
      <c r="C9" s="56"/>
      <c r="D9" s="77">
        <f>IF(F6=0,1000000,IF(F5&lt;0,-100000,F5/F6))</f>
        <v>10.390365448504983</v>
      </c>
      <c r="E9" s="56"/>
      <c r="F9" s="56"/>
      <c r="G9" s="56"/>
      <c r="H9" s="56"/>
      <c r="I9" s="56"/>
      <c r="J9" s="56"/>
    </row>
    <row r="10" spans="1:10" s="68" customFormat="1" ht="15" customHeight="1" thickBot="1">
      <c r="A10" s="56" t="s">
        <v>606</v>
      </c>
      <c r="D10" s="78" t="str">
        <f>IF(C4=1,VLOOKUP(D9,A19:D33,3),(IF(C4=2,VLOOKUP(D9,A38:D52,3),VLOOKUP(D9,F19:I33,3))))</f>
        <v>Aaa/AAA</v>
      </c>
      <c r="F10" s="14" t="s">
        <v>607</v>
      </c>
    </row>
    <row r="11" spans="1:10" s="68" customFormat="1" ht="15" customHeight="1" thickBot="1">
      <c r="A11" s="56" t="s">
        <v>608</v>
      </c>
      <c r="D11" s="79">
        <f>IF(C4=1,VLOOKUP(D9,A19:D33,4),(IF(C4=2,VLOOKUP(D9,A38:D52,4),VLOOKUP(D9,F19:I33,4))))</f>
        <v>7.6E-3</v>
      </c>
      <c r="F11" s="14" t="s">
        <v>609</v>
      </c>
    </row>
    <row r="12" spans="1:10" s="68" customFormat="1" ht="15" customHeight="1" thickBot="1">
      <c r="A12" s="56" t="s">
        <v>610</v>
      </c>
      <c r="D12" s="79">
        <f>VLOOKUP('Input sheet'!B5,'Country equity risk premiums'!A5:C190,3)</f>
        <v>0</v>
      </c>
      <c r="F12" s="14"/>
    </row>
    <row r="13" spans="1:10" s="56" customFormat="1" ht="15" customHeight="1" thickBot="1">
      <c r="A13" s="56" t="s">
        <v>611</v>
      </c>
      <c r="D13" s="80">
        <f>F7+D11+D12</f>
        <v>1.5599999999999999E-2</v>
      </c>
    </row>
    <row r="14" spans="1:10" s="56" customFormat="1" ht="14" customHeight="1">
      <c r="D14" s="70"/>
    </row>
    <row r="15" spans="1:10" s="13" customFormat="1" ht="14" customHeight="1">
      <c r="A15" s="13" t="s">
        <v>612</v>
      </c>
      <c r="D15" s="71"/>
    </row>
    <row r="16" spans="1:10" s="68" customFormat="1" ht="14" customHeight="1">
      <c r="A16" s="54" t="s">
        <v>613</v>
      </c>
    </row>
    <row r="17" spans="1:10" s="68" customFormat="1" ht="14" customHeight="1">
      <c r="A17" s="72" t="s">
        <v>614</v>
      </c>
      <c r="B17" s="72"/>
      <c r="C17" s="73"/>
      <c r="D17" s="73"/>
      <c r="J17" s="56"/>
    </row>
    <row r="18" spans="1:10" s="68" customFormat="1" ht="14" customHeight="1">
      <c r="A18" s="58" t="s">
        <v>615</v>
      </c>
      <c r="B18" s="58" t="s">
        <v>616</v>
      </c>
      <c r="C18" s="58" t="s">
        <v>617</v>
      </c>
      <c r="D18" s="58" t="s">
        <v>618</v>
      </c>
    </row>
    <row r="19" spans="1:10" s="68" customFormat="1" ht="14" customHeight="1">
      <c r="A19" s="23">
        <v>-100000</v>
      </c>
      <c r="B19" s="23">
        <v>0.19999900000000001</v>
      </c>
      <c r="C19" s="129" t="s">
        <v>619</v>
      </c>
      <c r="D19" s="189">
        <v>0.21660695121951221</v>
      </c>
    </row>
    <row r="20" spans="1:10" s="68" customFormat="1" ht="14" customHeight="1">
      <c r="A20" s="23">
        <v>0.2</v>
      </c>
      <c r="B20" s="23">
        <v>0.64999899999999999</v>
      </c>
      <c r="C20" s="129" t="s">
        <v>620</v>
      </c>
      <c r="D20" s="189">
        <v>0.16251109756097559</v>
      </c>
      <c r="F20" s="260"/>
    </row>
    <row r="21" spans="1:10" s="68" customFormat="1" ht="14" customHeight="1">
      <c r="A21" s="23">
        <v>0.65</v>
      </c>
      <c r="B21" s="23">
        <v>0.79999900000000002</v>
      </c>
      <c r="C21" s="129" t="s">
        <v>621</v>
      </c>
      <c r="D21" s="189">
        <v>0.12383926829268289</v>
      </c>
    </row>
    <row r="22" spans="1:10" s="68" customFormat="1" ht="14" customHeight="1">
      <c r="A22" s="23">
        <v>0.8</v>
      </c>
      <c r="B22" s="23">
        <v>1.2499990000000001</v>
      </c>
      <c r="C22" s="129" t="s">
        <v>622</v>
      </c>
      <c r="D22" s="189">
        <v>0.11749999999999999</v>
      </c>
    </row>
    <row r="23" spans="1:10" s="68" customFormat="1" ht="14" customHeight="1">
      <c r="A23" s="23">
        <v>1.25</v>
      </c>
      <c r="B23" s="23">
        <v>1.4999990000000001</v>
      </c>
      <c r="C23" s="129" t="s">
        <v>623</v>
      </c>
      <c r="D23" s="189">
        <v>0.1008333333333334</v>
      </c>
    </row>
    <row r="24" spans="1:10" s="68" customFormat="1" ht="14" customHeight="1">
      <c r="A24" s="23">
        <v>1.5</v>
      </c>
      <c r="B24" s="23">
        <v>1.7499990000000001</v>
      </c>
      <c r="C24" s="129" t="s">
        <v>624</v>
      </c>
      <c r="D24" s="189">
        <v>8.2500000000000004E-2</v>
      </c>
    </row>
    <row r="25" spans="1:10" s="68" customFormat="1" ht="14" customHeight="1">
      <c r="A25" s="23">
        <v>1.75</v>
      </c>
      <c r="B25" s="23">
        <v>1.9999990000000001</v>
      </c>
      <c r="C25" s="129" t="s">
        <v>625</v>
      </c>
      <c r="D25" s="189">
        <v>4.3143749999999988E-2</v>
      </c>
    </row>
    <row r="26" spans="1:10" s="68" customFormat="1" ht="14" customHeight="1">
      <c r="A26" s="23">
        <v>2</v>
      </c>
      <c r="B26" s="23">
        <v>2.2499999000000002</v>
      </c>
      <c r="C26" s="129" t="s">
        <v>626</v>
      </c>
      <c r="D26" s="189">
        <v>2.9499999999999998E-2</v>
      </c>
    </row>
    <row r="27" spans="1:10" s="68" customFormat="1" ht="14" customHeight="1">
      <c r="A27" s="23">
        <v>2.25</v>
      </c>
      <c r="B27" s="23">
        <v>2.4999899999999999</v>
      </c>
      <c r="C27" s="129" t="s">
        <v>627</v>
      </c>
      <c r="D27" s="189">
        <v>2.3205128205128212E-2</v>
      </c>
    </row>
    <row r="28" spans="1:10" s="68" customFormat="1" ht="14" customHeight="1">
      <c r="A28" s="23">
        <v>2.5</v>
      </c>
      <c r="B28" s="23">
        <v>2.9999989999999999</v>
      </c>
      <c r="C28" s="129" t="s">
        <v>628</v>
      </c>
      <c r="D28" s="189">
        <v>1.8100000000000002E-2</v>
      </c>
    </row>
    <row r="29" spans="1:10" s="68" customFormat="1" ht="14" customHeight="1">
      <c r="A29" s="23">
        <v>3</v>
      </c>
      <c r="B29" s="23">
        <v>4.2499989999999999</v>
      </c>
      <c r="C29" s="129" t="s">
        <v>629</v>
      </c>
      <c r="D29" s="189">
        <v>1.3416000000000001E-2</v>
      </c>
    </row>
    <row r="30" spans="1:10" s="68" customFormat="1" ht="14" customHeight="1">
      <c r="A30" s="23">
        <v>4.25</v>
      </c>
      <c r="B30" s="23">
        <v>5.4999989999999999</v>
      </c>
      <c r="C30" s="129" t="s">
        <v>630</v>
      </c>
      <c r="D30" s="189">
        <v>1.1868E-2</v>
      </c>
    </row>
    <row r="31" spans="1:10" s="68" customFormat="1" ht="14" customHeight="1">
      <c r="A31" s="23">
        <v>5.5</v>
      </c>
      <c r="B31" s="23">
        <v>6.4999989999999999</v>
      </c>
      <c r="C31" s="129" t="s">
        <v>631</v>
      </c>
      <c r="D31" s="189">
        <v>1.0749999999999999E-2</v>
      </c>
    </row>
    <row r="32" spans="1:10" s="68" customFormat="1" ht="14" customHeight="1">
      <c r="A32" s="23">
        <v>6.5</v>
      </c>
      <c r="B32" s="23">
        <v>8.4999990000000007</v>
      </c>
      <c r="C32" s="129" t="s">
        <v>351</v>
      </c>
      <c r="D32" s="189">
        <v>8.6E-3</v>
      </c>
    </row>
    <row r="33" spans="1:8" s="68" customFormat="1" ht="14" customHeight="1">
      <c r="A33" s="74">
        <v>8.5</v>
      </c>
      <c r="B33" s="23">
        <v>100000</v>
      </c>
      <c r="C33" s="129" t="s">
        <v>632</v>
      </c>
      <c r="D33" s="189">
        <v>7.6E-3</v>
      </c>
    </row>
    <row r="34" spans="1:8" s="68" customFormat="1" ht="14" customHeight="1"/>
    <row r="35" spans="1:8" s="68" customFormat="1" ht="14" customHeight="1">
      <c r="A35" s="54" t="s">
        <v>633</v>
      </c>
    </row>
    <row r="36" spans="1:8" s="68" customFormat="1" ht="14" customHeight="1">
      <c r="A36" s="72" t="s">
        <v>614</v>
      </c>
      <c r="B36" s="75"/>
      <c r="C36" s="23"/>
      <c r="D36" s="23"/>
    </row>
    <row r="37" spans="1:8" s="68" customFormat="1" ht="14" customHeight="1">
      <c r="A37" s="23" t="s">
        <v>634</v>
      </c>
      <c r="B37" s="23" t="s">
        <v>616</v>
      </c>
      <c r="C37" s="23" t="s">
        <v>617</v>
      </c>
      <c r="D37" s="23" t="s">
        <v>618</v>
      </c>
    </row>
    <row r="38" spans="1:8" s="68" customFormat="1" ht="14" customHeight="1">
      <c r="A38" s="23">
        <v>-100000</v>
      </c>
      <c r="B38" s="23">
        <v>0.49999900000000003</v>
      </c>
      <c r="C38" s="129" t="s">
        <v>619</v>
      </c>
      <c r="D38" s="189">
        <v>0.21660695121951221</v>
      </c>
      <c r="G38" s="58" t="s">
        <v>617</v>
      </c>
      <c r="H38" s="58" t="s">
        <v>635</v>
      </c>
    </row>
    <row r="39" spans="1:8" s="68" customFormat="1" ht="14" customHeight="1">
      <c r="A39" s="23">
        <v>0.5</v>
      </c>
      <c r="B39" s="23">
        <v>0.79999900000000002</v>
      </c>
      <c r="C39" s="129" t="s">
        <v>620</v>
      </c>
      <c r="D39" s="189">
        <v>0.16251109756097559</v>
      </c>
      <c r="G39" s="129" t="s">
        <v>631</v>
      </c>
      <c r="H39" s="259">
        <v>1.0749999999999999E-2</v>
      </c>
    </row>
    <row r="40" spans="1:8" s="68" customFormat="1" ht="14" customHeight="1">
      <c r="A40" s="23">
        <v>0.8</v>
      </c>
      <c r="B40" s="23">
        <v>1.2499990000000001</v>
      </c>
      <c r="C40" s="129" t="s">
        <v>621</v>
      </c>
      <c r="D40" s="189">
        <v>0.12383926829268289</v>
      </c>
      <c r="G40" s="129" t="s">
        <v>630</v>
      </c>
      <c r="H40" s="259">
        <v>1.1868E-2</v>
      </c>
    </row>
    <row r="41" spans="1:8" s="68" customFormat="1" ht="14" customHeight="1">
      <c r="A41" s="23">
        <v>1.25</v>
      </c>
      <c r="B41" s="23">
        <v>1.4999990000000001</v>
      </c>
      <c r="C41" s="129" t="s">
        <v>622</v>
      </c>
      <c r="D41" s="189">
        <v>0.11749999999999999</v>
      </c>
      <c r="G41" s="129" t="s">
        <v>629</v>
      </c>
      <c r="H41" s="259">
        <v>1.3416000000000001E-2</v>
      </c>
    </row>
    <row r="42" spans="1:8" s="68" customFormat="1" ht="14" customHeight="1">
      <c r="A42" s="23">
        <v>1.5</v>
      </c>
      <c r="B42" s="23">
        <v>1.9999990000000001</v>
      </c>
      <c r="C42" s="129" t="s">
        <v>623</v>
      </c>
      <c r="D42" s="189">
        <v>0.1008333333333334</v>
      </c>
      <c r="G42" s="129" t="s">
        <v>351</v>
      </c>
      <c r="H42" s="259">
        <v>8.6E-3</v>
      </c>
    </row>
    <row r="43" spans="1:8" s="68" customFormat="1" ht="14" customHeight="1">
      <c r="A43" s="23">
        <v>2</v>
      </c>
      <c r="B43" s="23">
        <v>2.4999989999999999</v>
      </c>
      <c r="C43" s="129" t="s">
        <v>624</v>
      </c>
      <c r="D43" s="189">
        <v>8.2500000000000004E-2</v>
      </c>
      <c r="G43" s="129" t="s">
        <v>632</v>
      </c>
      <c r="H43" s="259">
        <v>7.6E-3</v>
      </c>
    </row>
    <row r="44" spans="1:8" s="68" customFormat="1" ht="14" customHeight="1">
      <c r="A44" s="23">
        <v>2.5</v>
      </c>
      <c r="B44" s="23">
        <v>2.9999989999999999</v>
      </c>
      <c r="C44" s="129" t="s">
        <v>625</v>
      </c>
      <c r="D44" s="189">
        <v>4.3143749999999988E-2</v>
      </c>
      <c r="G44" s="129" t="s">
        <v>625</v>
      </c>
      <c r="H44" s="259">
        <v>4.3143749999999988E-2</v>
      </c>
    </row>
    <row r="45" spans="1:8" s="68" customFormat="1" ht="14" customHeight="1">
      <c r="A45" s="23">
        <v>3</v>
      </c>
      <c r="B45" s="23">
        <v>3.4999989999999999</v>
      </c>
      <c r="C45" s="129" t="s">
        <v>626</v>
      </c>
      <c r="D45" s="189">
        <v>2.9499999999999998E-2</v>
      </c>
      <c r="G45" s="129" t="s">
        <v>624</v>
      </c>
      <c r="H45" s="259">
        <v>8.2500000000000004E-2</v>
      </c>
    </row>
    <row r="46" spans="1:8" s="68" customFormat="1" ht="14" customHeight="1">
      <c r="A46" s="23">
        <v>3.5</v>
      </c>
      <c r="B46" s="23">
        <v>3.9999999000000002</v>
      </c>
      <c r="C46" s="129" t="s">
        <v>627</v>
      </c>
      <c r="D46" s="189">
        <v>2.3205128205128212E-2</v>
      </c>
      <c r="G46" s="129" t="s">
        <v>623</v>
      </c>
      <c r="H46" s="259">
        <v>0.1008333333333334</v>
      </c>
    </row>
    <row r="47" spans="1:8" s="68" customFormat="1" ht="14" customHeight="1">
      <c r="A47" s="23">
        <v>4</v>
      </c>
      <c r="B47" s="23">
        <v>4.4999989999999999</v>
      </c>
      <c r="C47" s="129" t="s">
        <v>628</v>
      </c>
      <c r="D47" s="189">
        <v>1.8100000000000002E-2</v>
      </c>
      <c r="G47" s="129" t="s">
        <v>627</v>
      </c>
      <c r="H47" s="259">
        <v>2.3205128205128212E-2</v>
      </c>
    </row>
    <row r="48" spans="1:8" s="68" customFormat="1" ht="14" customHeight="1">
      <c r="A48" s="23">
        <v>4.5</v>
      </c>
      <c r="B48" s="23">
        <v>5.9999989999999999</v>
      </c>
      <c r="C48" s="129" t="s">
        <v>629</v>
      </c>
      <c r="D48" s="189">
        <v>1.3416000000000001E-2</v>
      </c>
      <c r="G48" s="129" t="s">
        <v>626</v>
      </c>
      <c r="H48" s="259">
        <v>2.9499999999999998E-2</v>
      </c>
    </row>
    <row r="49" spans="1:10" s="68" customFormat="1" ht="14" customHeight="1">
      <c r="A49" s="23">
        <v>6</v>
      </c>
      <c r="B49" s="23">
        <v>7.4999989999999999</v>
      </c>
      <c r="C49" s="129" t="s">
        <v>630</v>
      </c>
      <c r="D49" s="189">
        <v>1.1868E-2</v>
      </c>
      <c r="G49" s="129" t="s">
        <v>628</v>
      </c>
      <c r="H49" s="259">
        <v>1.8100000000000002E-2</v>
      </c>
    </row>
    <row r="50" spans="1:10" s="68" customFormat="1" ht="14" customHeight="1">
      <c r="A50" s="23">
        <v>7.5</v>
      </c>
      <c r="B50" s="23">
        <v>9.4999990000000007</v>
      </c>
      <c r="C50" s="129" t="s">
        <v>631</v>
      </c>
      <c r="D50" s="189">
        <v>1.0749999999999999E-2</v>
      </c>
      <c r="G50" s="129" t="s">
        <v>620</v>
      </c>
      <c r="H50" s="259">
        <v>0.16251109756097559</v>
      </c>
    </row>
    <row r="51" spans="1:10" ht="14" customHeight="1">
      <c r="A51" s="23">
        <v>9.5</v>
      </c>
      <c r="B51" s="23">
        <v>12.499999000000001</v>
      </c>
      <c r="C51" s="129" t="s">
        <v>351</v>
      </c>
      <c r="D51" s="189">
        <v>8.6E-3</v>
      </c>
      <c r="F51" s="68"/>
      <c r="G51" s="129" t="s">
        <v>621</v>
      </c>
      <c r="H51" s="259">
        <v>0.12383926829268289</v>
      </c>
      <c r="I51" s="68"/>
      <c r="J51" s="68"/>
    </row>
    <row r="52" spans="1:10" ht="14" customHeight="1">
      <c r="A52" s="23">
        <v>12.5</v>
      </c>
      <c r="B52" s="23">
        <v>100000</v>
      </c>
      <c r="C52" s="129" t="s">
        <v>632</v>
      </c>
      <c r="D52" s="189">
        <v>7.6E-3</v>
      </c>
      <c r="G52" s="129" t="s">
        <v>622</v>
      </c>
      <c r="H52" s="259">
        <v>0.11749999999999999</v>
      </c>
    </row>
    <row r="53" spans="1:10" ht="14" customHeight="1">
      <c r="G53" s="129" t="s">
        <v>619</v>
      </c>
      <c r="H53" s="259">
        <v>0.21660695121951221</v>
      </c>
    </row>
  </sheetData>
  <pageMargins left="0.75" right="0.75" top="1" bottom="1" header="0.5" footer="0.5"/>
  <pageSetup orientation="portrait" horizontalDpi="4294967292" verticalDpi="4294967292"/>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A97"/>
  <sheetViews>
    <sheetView workbookViewId="0">
      <pane xSplit="1" ySplit="1" topLeftCell="E45" activePane="bottomRight" state="frozen"/>
      <selection pane="topRight" activeCell="B1" sqref="B1"/>
      <selection pane="bottomLeft" activeCell="A2" sqref="A2"/>
      <selection pane="bottomRight"/>
    </sheetView>
  </sheetViews>
  <sheetFormatPr baseColWidth="10" defaultColWidth="11.5"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 min="9" max="23" width="10.83203125" customWidth="1"/>
  </cols>
  <sheetData>
    <row r="1" spans="1:27" s="201" customFormat="1" ht="84" customHeight="1">
      <c r="A1" s="261" t="s">
        <v>636</v>
      </c>
      <c r="B1" s="135" t="s">
        <v>637</v>
      </c>
      <c r="C1" s="262" t="s">
        <v>638</v>
      </c>
      <c r="D1" s="262" t="s">
        <v>639</v>
      </c>
      <c r="E1" s="262" t="s">
        <v>640</v>
      </c>
      <c r="F1" s="135" t="s">
        <v>641</v>
      </c>
      <c r="G1" s="135" t="s">
        <v>371</v>
      </c>
      <c r="H1" s="135" t="s">
        <v>642</v>
      </c>
      <c r="I1" s="135" t="s">
        <v>643</v>
      </c>
      <c r="J1" s="135" t="s">
        <v>644</v>
      </c>
      <c r="K1" s="135" t="s">
        <v>645</v>
      </c>
      <c r="L1" s="135" t="s">
        <v>646</v>
      </c>
      <c r="M1" s="135" t="s">
        <v>122</v>
      </c>
      <c r="N1" s="263" t="s">
        <v>647</v>
      </c>
      <c r="O1" s="135" t="s">
        <v>369</v>
      </c>
      <c r="P1" s="135" t="s">
        <v>648</v>
      </c>
      <c r="Q1" s="135" t="s">
        <v>649</v>
      </c>
      <c r="R1" s="135" t="s">
        <v>650</v>
      </c>
      <c r="S1" s="135" t="s">
        <v>651</v>
      </c>
      <c r="T1" s="135" t="s">
        <v>652</v>
      </c>
      <c r="U1" s="135" t="s">
        <v>653</v>
      </c>
      <c r="V1" s="135" t="s">
        <v>654</v>
      </c>
      <c r="W1" s="135" t="s">
        <v>655</v>
      </c>
      <c r="X1" s="261" t="s">
        <v>656</v>
      </c>
      <c r="Y1" s="261" t="s">
        <v>657</v>
      </c>
      <c r="Z1" s="261" t="s">
        <v>658</v>
      </c>
      <c r="AA1" s="135" t="s">
        <v>659</v>
      </c>
    </row>
    <row r="2" spans="1:27" ht="14" customHeight="1">
      <c r="A2" s="264" t="s">
        <v>373</v>
      </c>
      <c r="B2" s="81">
        <v>47</v>
      </c>
      <c r="C2" s="265">
        <v>0.1898457895</v>
      </c>
      <c r="D2" s="265">
        <v>0.12071573564591601</v>
      </c>
      <c r="E2" s="265">
        <v>0.63513835105104166</v>
      </c>
      <c r="F2" s="265">
        <v>0.24144885196197269</v>
      </c>
      <c r="G2" s="266">
        <v>0.93495314294485965</v>
      </c>
      <c r="H2" s="266">
        <v>1.4396117500000001</v>
      </c>
      <c r="I2" s="265">
        <v>9.4059810999999993E-2</v>
      </c>
      <c r="J2" s="265">
        <v>0.62376766299999997</v>
      </c>
      <c r="K2" s="265">
        <v>3.6700000000000003E-2</v>
      </c>
      <c r="L2" s="265">
        <v>0.45970469962445892</v>
      </c>
      <c r="M2" s="265">
        <v>6.3473445694674849E-2</v>
      </c>
      <c r="N2" s="266">
        <v>5.4319282449461914</v>
      </c>
      <c r="O2" s="266">
        <v>1.93894991479811</v>
      </c>
      <c r="P2" s="266">
        <v>9.2014693640394078</v>
      </c>
      <c r="Q2" s="266">
        <v>15.117650173548791</v>
      </c>
      <c r="R2" s="266">
        <v>5.9824337806546009</v>
      </c>
      <c r="S2" s="266">
        <v>23.771264519999999</v>
      </c>
      <c r="T2" s="265">
        <v>5.2277177685990648E-4</v>
      </c>
      <c r="U2" s="265">
        <v>2.210287557289297E-2</v>
      </c>
      <c r="V2" s="265">
        <v>6.8963391259924067E-2</v>
      </c>
      <c r="W2" s="265">
        <v>0.65383302458454573</v>
      </c>
      <c r="X2" s="265">
        <v>0.26083948775097737</v>
      </c>
      <c r="Y2" s="265">
        <v>1.0133491837919</v>
      </c>
      <c r="Z2" s="265">
        <v>1.0133491837919</v>
      </c>
      <c r="AA2" s="265">
        <v>0.1219780373875451</v>
      </c>
    </row>
    <row r="3" spans="1:27" ht="14" customHeight="1">
      <c r="A3" s="264" t="s">
        <v>660</v>
      </c>
      <c r="B3" s="81">
        <v>77</v>
      </c>
      <c r="C3" s="265">
        <v>3.5260652169999997E-2</v>
      </c>
      <c r="D3" s="265">
        <v>0.1136672293304227</v>
      </c>
      <c r="E3" s="265">
        <v>0.33932973316850479</v>
      </c>
      <c r="F3" s="265">
        <v>0.1906341376660167</v>
      </c>
      <c r="G3" s="266">
        <v>1.078522159887352</v>
      </c>
      <c r="H3" s="266">
        <v>1.231583809</v>
      </c>
      <c r="I3" s="265">
        <v>8.3242358067999997E-2</v>
      </c>
      <c r="J3" s="265">
        <v>0.387395563</v>
      </c>
      <c r="K3" s="265">
        <v>3.27E-2</v>
      </c>
      <c r="L3" s="265">
        <v>0.1953611792611965</v>
      </c>
      <c r="M3" s="265">
        <v>7.1771265752733585E-2</v>
      </c>
      <c r="N3" s="266">
        <v>3.1504976789852259</v>
      </c>
      <c r="O3" s="266">
        <v>2.266171854201998</v>
      </c>
      <c r="P3" s="266">
        <v>14.93667174919039</v>
      </c>
      <c r="Q3" s="266">
        <v>19.76659509155769</v>
      </c>
      <c r="R3" s="266">
        <v>6.0905708095424593</v>
      </c>
      <c r="S3" s="266">
        <v>44.264541700000002</v>
      </c>
      <c r="T3" s="265">
        <v>0.37473625480630141</v>
      </c>
      <c r="U3" s="265">
        <v>2.790574912863036E-2</v>
      </c>
      <c r="V3" s="265">
        <v>5.8302300963488748E-2</v>
      </c>
      <c r="W3" s="265">
        <v>1.043664595276697</v>
      </c>
      <c r="X3" s="265">
        <v>0.31420312207486539</v>
      </c>
      <c r="Y3" s="265">
        <v>0.44144121905042888</v>
      </c>
      <c r="Z3" s="265">
        <v>0.44144121905042888</v>
      </c>
      <c r="AA3" s="265">
        <v>0.1174744598100627</v>
      </c>
    </row>
    <row r="4" spans="1:27" ht="14" customHeight="1">
      <c r="A4" s="264" t="s">
        <v>661</v>
      </c>
      <c r="B4" s="81">
        <v>18</v>
      </c>
      <c r="C4" s="265">
        <v>4.8416666669999997E-2</v>
      </c>
      <c r="D4" s="265">
        <v>0.11601029095344829</v>
      </c>
      <c r="E4" s="265">
        <v>0.13692026726019221</v>
      </c>
      <c r="F4" s="265">
        <v>0.23040082281052779</v>
      </c>
      <c r="G4" s="266">
        <v>0.84367299762743941</v>
      </c>
      <c r="H4" s="266">
        <v>1.4353478609999999</v>
      </c>
      <c r="I4" s="265">
        <v>9.3838088771999992E-2</v>
      </c>
      <c r="J4" s="265">
        <v>0.317396332</v>
      </c>
      <c r="K4" s="265">
        <v>3.27E-2</v>
      </c>
      <c r="L4" s="265">
        <v>0.50842522941097135</v>
      </c>
      <c r="M4" s="265">
        <v>5.8597565711912873E-2</v>
      </c>
      <c r="N4" s="266">
        <v>1.5045218215644709</v>
      </c>
      <c r="O4" s="266">
        <v>1.339288016727078</v>
      </c>
      <c r="P4" s="266">
        <v>6.5369756935541909</v>
      </c>
      <c r="Q4" s="266">
        <v>12.003101378380901</v>
      </c>
      <c r="R4" s="266">
        <v>2.342918702205993</v>
      </c>
      <c r="S4" s="266">
        <v>10.54942247</v>
      </c>
      <c r="T4" s="265">
        <v>1.1618339509923969E-2</v>
      </c>
      <c r="U4" s="265">
        <v>0.1077021401390991</v>
      </c>
      <c r="V4" s="265">
        <v>5.429788414349164E-2</v>
      </c>
      <c r="W4" s="265">
        <v>0.61329261086930231</v>
      </c>
      <c r="X4" s="265">
        <v>0.28202838198907287</v>
      </c>
      <c r="Y4" s="265">
        <v>0.15077745202490289</v>
      </c>
      <c r="Z4" s="265">
        <v>0.15077745202490289</v>
      </c>
      <c r="AA4" s="265">
        <v>0.1116152707388315</v>
      </c>
    </row>
    <row r="5" spans="1:27" ht="14" customHeight="1">
      <c r="A5" s="264" t="s">
        <v>662</v>
      </c>
      <c r="B5" s="81">
        <v>51</v>
      </c>
      <c r="C5" s="265">
        <v>-2.5637241379999998E-2</v>
      </c>
      <c r="D5" s="265">
        <v>0.1057609210457415</v>
      </c>
      <c r="E5" s="265">
        <v>0.16339066147286699</v>
      </c>
      <c r="F5" s="265">
        <v>0.15606759311520499</v>
      </c>
      <c r="G5" s="266">
        <v>0.82964100094338267</v>
      </c>
      <c r="H5" s="266">
        <v>1.055096737</v>
      </c>
      <c r="I5" s="265">
        <v>7.4065030323999997E-2</v>
      </c>
      <c r="J5" s="265">
        <v>0.51101909700000003</v>
      </c>
      <c r="K5" s="265">
        <v>3.6700000000000003E-2</v>
      </c>
      <c r="L5" s="265">
        <v>0.2946233609166361</v>
      </c>
      <c r="M5" s="265">
        <v>6.035325017278096E-2</v>
      </c>
      <c r="N5" s="266">
        <v>1.715705895350421</v>
      </c>
      <c r="O5" s="266">
        <v>1.8913544786258929</v>
      </c>
      <c r="P5" s="266">
        <v>10.93015671950725</v>
      </c>
      <c r="Q5" s="266">
        <v>17.56488015284479</v>
      </c>
      <c r="R5" s="266">
        <v>3.7259806585275972</v>
      </c>
      <c r="S5" s="266">
        <v>54.572239379999999</v>
      </c>
      <c r="T5" s="265">
        <v>0.23726047261779321</v>
      </c>
      <c r="U5" s="265">
        <v>2.515632435306411E-2</v>
      </c>
      <c r="V5" s="265">
        <v>1.7864726984155539E-2</v>
      </c>
      <c r="W5" s="265">
        <v>0.30488096740163101</v>
      </c>
      <c r="X5" s="265">
        <v>0.16723276272008261</v>
      </c>
      <c r="Y5" s="265">
        <v>0.43054190753528182</v>
      </c>
      <c r="Z5" s="265">
        <v>0.43054190753528182</v>
      </c>
      <c r="AA5" s="265">
        <v>0.1071375388125476</v>
      </c>
    </row>
    <row r="6" spans="1:27" ht="14" customHeight="1">
      <c r="A6" s="264" t="s">
        <v>663</v>
      </c>
      <c r="B6" s="81">
        <v>13</v>
      </c>
      <c r="C6" s="265">
        <v>0.1431333333</v>
      </c>
      <c r="D6" s="265">
        <v>3.4075445431577721E-2</v>
      </c>
      <c r="E6" s="265">
        <v>2.8910253439599631E-2</v>
      </c>
      <c r="F6" s="265">
        <v>5.5439944954436382E-2</v>
      </c>
      <c r="G6" s="266">
        <v>0.52573503977592417</v>
      </c>
      <c r="H6" s="266">
        <v>1.095074098</v>
      </c>
      <c r="I6" s="265">
        <v>7.6143853095999997E-2</v>
      </c>
      <c r="J6" s="265">
        <v>0.35018877700000001</v>
      </c>
      <c r="K6" s="265">
        <v>3.27E-2</v>
      </c>
      <c r="L6" s="265">
        <v>0.622538399061633</v>
      </c>
      <c r="M6" s="265">
        <v>4.4009134928218542E-2</v>
      </c>
      <c r="N6" s="266">
        <v>0.87444822818687473</v>
      </c>
      <c r="O6" s="266">
        <v>1.259745153768203</v>
      </c>
      <c r="P6" s="266">
        <v>14.386948758692281</v>
      </c>
      <c r="Q6" s="266">
        <v>36.554840874704148</v>
      </c>
      <c r="R6" s="266">
        <v>1.818661185303154</v>
      </c>
      <c r="S6" s="266">
        <v>16.763696790000001</v>
      </c>
      <c r="T6" s="265">
        <v>-5.5392899600342688E-2</v>
      </c>
      <c r="U6" s="265">
        <v>9.4500610405177904E-2</v>
      </c>
      <c r="V6" s="265">
        <v>5.0880914814045372E-2</v>
      </c>
      <c r="W6" s="265">
        <v>1.1836870059474871</v>
      </c>
      <c r="X6" s="265">
        <v>0.12428655448818721</v>
      </c>
      <c r="Y6" s="265">
        <v>0.51576420890937014</v>
      </c>
      <c r="Z6" s="265">
        <v>0.51576420890937014</v>
      </c>
      <c r="AA6" s="265">
        <v>3.5105100632012692E-2</v>
      </c>
    </row>
    <row r="7" spans="1:27" ht="14" customHeight="1">
      <c r="A7" s="264" t="s">
        <v>664</v>
      </c>
      <c r="B7" s="81">
        <v>46</v>
      </c>
      <c r="C7" s="265">
        <v>4.9810344829999999E-2</v>
      </c>
      <c r="D7" s="265">
        <v>7.2421231936221811E-2</v>
      </c>
      <c r="E7" s="265">
        <v>0.17000160011143189</v>
      </c>
      <c r="F7" s="265">
        <v>0.18517556494840501</v>
      </c>
      <c r="G7" s="266">
        <v>0.94699357699930653</v>
      </c>
      <c r="H7" s="266">
        <v>1.2109700219999999</v>
      </c>
      <c r="I7" s="265">
        <v>8.2170441143999989E-2</v>
      </c>
      <c r="J7" s="265">
        <v>0.50433022000000005</v>
      </c>
      <c r="K7" s="265">
        <v>3.6700000000000003E-2</v>
      </c>
      <c r="L7" s="265">
        <v>0.33715039893414911</v>
      </c>
      <c r="M7" s="265">
        <v>6.3746708862367829E-2</v>
      </c>
      <c r="N7" s="266">
        <v>2.4631101239374962</v>
      </c>
      <c r="O7" s="266">
        <v>0.75459246130376545</v>
      </c>
      <c r="P7" s="266">
        <v>6.3822769766633431</v>
      </c>
      <c r="Q7" s="266">
        <v>10.18396272788514</v>
      </c>
      <c r="R7" s="266">
        <v>1.947721325619135</v>
      </c>
      <c r="S7" s="266">
        <v>17.580402759999998</v>
      </c>
      <c r="T7" s="265">
        <v>0.12619914456709699</v>
      </c>
      <c r="U7" s="265">
        <v>4.3082410133894827E-2</v>
      </c>
      <c r="V7" s="265">
        <v>6.1900165215573837E-2</v>
      </c>
      <c r="W7" s="265">
        <v>1.0299934821212851</v>
      </c>
      <c r="X7" s="265">
        <v>0.1256421159468378</v>
      </c>
      <c r="Y7" s="265">
        <v>0.26305867053113507</v>
      </c>
      <c r="Z7" s="265">
        <v>0.26305867053113507</v>
      </c>
      <c r="AA7" s="265">
        <v>7.4365754505033313E-2</v>
      </c>
    </row>
    <row r="8" spans="1:27" ht="14" customHeight="1">
      <c r="A8" s="264" t="s">
        <v>665</v>
      </c>
      <c r="B8" s="81">
        <v>7</v>
      </c>
      <c r="C8" s="265">
        <v>2.112E-2</v>
      </c>
      <c r="D8" s="265">
        <v>0</v>
      </c>
      <c r="E8" s="265">
        <v>-2.5543482463733641E-4</v>
      </c>
      <c r="F8" s="265">
        <v>0.17744006670223919</v>
      </c>
      <c r="G8" s="266">
        <v>0.55954146707616625</v>
      </c>
      <c r="H8" s="266">
        <v>1.000862659</v>
      </c>
      <c r="I8" s="265">
        <v>7.1244858267999991E-2</v>
      </c>
      <c r="J8" s="265">
        <v>0.177446458</v>
      </c>
      <c r="K8" s="265">
        <v>2.7199999999999998E-2</v>
      </c>
      <c r="L8" s="265">
        <v>0.63996150572054089</v>
      </c>
      <c r="M8" s="265">
        <v>3.8706106212663217E-2</v>
      </c>
      <c r="N8" s="266">
        <v>0.2042376285393149</v>
      </c>
      <c r="O8" s="266">
        <v>7.2784856351374376</v>
      </c>
      <c r="P8" s="266" t="s">
        <v>188</v>
      </c>
      <c r="Q8" s="266" t="s">
        <v>188</v>
      </c>
      <c r="R8" s="266">
        <v>1.270921256610436</v>
      </c>
      <c r="S8" s="266">
        <v>10.226524850000001</v>
      </c>
      <c r="T8" s="265" t="s">
        <v>188</v>
      </c>
      <c r="U8" s="265">
        <v>1.4998598415935189E-2</v>
      </c>
      <c r="V8" s="265">
        <v>1.4998598415935189E-2</v>
      </c>
      <c r="W8" s="265" t="s">
        <v>188</v>
      </c>
      <c r="X8" s="265">
        <v>0.12802702006738359</v>
      </c>
      <c r="Y8" s="265">
        <v>0.27401086253158652</v>
      </c>
      <c r="Z8" s="265">
        <v>0.27401086253158652</v>
      </c>
      <c r="AA8" s="265">
        <v>-1.550856381329801E-3</v>
      </c>
    </row>
    <row r="9" spans="1:27" ht="14" customHeight="1">
      <c r="A9" s="264" t="s">
        <v>666</v>
      </c>
      <c r="B9" s="81">
        <v>611</v>
      </c>
      <c r="C9" s="265">
        <v>0.1013484055</v>
      </c>
      <c r="D9" s="265">
        <v>0</v>
      </c>
      <c r="E9" s="265">
        <v>-6.2601260561558905E-4</v>
      </c>
      <c r="F9" s="265">
        <v>0.203301708617835</v>
      </c>
      <c r="G9" s="266">
        <v>0.43131558206262371</v>
      </c>
      <c r="H9" s="266">
        <v>0.56698275799999998</v>
      </c>
      <c r="I9" s="265">
        <v>4.8683103415999997E-2</v>
      </c>
      <c r="J9" s="265">
        <v>0.182632184</v>
      </c>
      <c r="K9" s="265">
        <v>2.7199999999999998E-2</v>
      </c>
      <c r="L9" s="265">
        <v>0.38620076872686798</v>
      </c>
      <c r="M9" s="265">
        <v>3.7760147134759288E-2</v>
      </c>
      <c r="N9" s="266">
        <v>0.25786954727934719</v>
      </c>
      <c r="O9" s="266">
        <v>5.9544675710955843</v>
      </c>
      <c r="P9" s="266" t="s">
        <v>188</v>
      </c>
      <c r="Q9" s="266" t="s">
        <v>188</v>
      </c>
      <c r="R9" s="266">
        <v>1.373907196361793</v>
      </c>
      <c r="S9" s="266">
        <v>15.406961539999999</v>
      </c>
      <c r="T9" s="265" t="s">
        <v>188</v>
      </c>
      <c r="U9" s="265">
        <v>3.5067840691346941E-2</v>
      </c>
      <c r="V9" s="265">
        <v>6.1583740165365303E-3</v>
      </c>
      <c r="W9" s="265" t="s">
        <v>188</v>
      </c>
      <c r="X9" s="265">
        <v>0.12047930242644631</v>
      </c>
      <c r="Y9" s="265">
        <v>0.29769356297646871</v>
      </c>
      <c r="Z9" s="265">
        <v>0.29769356297646882</v>
      </c>
      <c r="AA9" s="265">
        <v>-2.9412604417222879E-3</v>
      </c>
    </row>
    <row r="10" spans="1:27" ht="14" customHeight="1">
      <c r="A10" s="264" t="s">
        <v>667</v>
      </c>
      <c r="B10" s="81">
        <v>21</v>
      </c>
      <c r="C10" s="265">
        <v>0.107733</v>
      </c>
      <c r="D10" s="265">
        <v>0.22113325819569099</v>
      </c>
      <c r="E10" s="265">
        <v>0.14947643647980269</v>
      </c>
      <c r="F10" s="265">
        <v>0.18389078322852589</v>
      </c>
      <c r="G10" s="266">
        <v>0.91888255777611116</v>
      </c>
      <c r="H10" s="266">
        <v>1.126335082</v>
      </c>
      <c r="I10" s="265">
        <v>7.7769424263999992E-2</v>
      </c>
      <c r="J10" s="265">
        <v>0.42462515200000001</v>
      </c>
      <c r="K10" s="265">
        <v>3.6700000000000003E-2</v>
      </c>
      <c r="L10" s="265">
        <v>0.2382666755439572</v>
      </c>
      <c r="M10" s="265">
        <v>6.5797852329996576E-2</v>
      </c>
      <c r="N10" s="266">
        <v>0.72391475861119148</v>
      </c>
      <c r="O10" s="266">
        <v>4.6183135329219693</v>
      </c>
      <c r="P10" s="266">
        <v>16.324606720498839</v>
      </c>
      <c r="Q10" s="266">
        <v>20.87445146815508</v>
      </c>
      <c r="R10" s="266">
        <v>2.993552957629162</v>
      </c>
      <c r="S10" s="266">
        <v>38.691063020000001</v>
      </c>
      <c r="T10" s="265">
        <v>0.16610862361619411</v>
      </c>
      <c r="U10" s="265">
        <v>7.2522444361971097E-2</v>
      </c>
      <c r="V10" s="265">
        <v>5.4935416619938442E-2</v>
      </c>
      <c r="W10" s="265">
        <v>0.4161276992332601</v>
      </c>
      <c r="X10" s="265">
        <v>6.8844888782697219E-2</v>
      </c>
      <c r="Y10" s="265">
        <v>0.67003550942365475</v>
      </c>
      <c r="Z10" s="265">
        <v>0.67003550942365475</v>
      </c>
      <c r="AA10" s="265">
        <v>0.2211132437723988</v>
      </c>
    </row>
    <row r="11" spans="1:27" ht="14" customHeight="1">
      <c r="A11" s="264" t="s">
        <v>668</v>
      </c>
      <c r="B11" s="81">
        <v>34</v>
      </c>
      <c r="C11" s="265">
        <v>0.30746416669999999</v>
      </c>
      <c r="D11" s="265">
        <v>0.2040085713937366</v>
      </c>
      <c r="E11" s="265">
        <v>0.2620710602824583</v>
      </c>
      <c r="F11" s="265">
        <v>9.7557901662739768E-2</v>
      </c>
      <c r="G11" s="266">
        <v>1.090713192818384</v>
      </c>
      <c r="H11" s="266">
        <v>1.2188969089999999</v>
      </c>
      <c r="I11" s="265">
        <v>8.2582639267999983E-2</v>
      </c>
      <c r="J11" s="265">
        <v>0.57076926299999997</v>
      </c>
      <c r="K11" s="265">
        <v>3.6700000000000003E-2</v>
      </c>
      <c r="L11" s="265">
        <v>0.1613435249427651</v>
      </c>
      <c r="M11" s="265">
        <v>7.3699445673473668E-2</v>
      </c>
      <c r="N11" s="266">
        <v>1.3299918592631239</v>
      </c>
      <c r="O11" s="266">
        <v>4.8814243170335638</v>
      </c>
      <c r="P11" s="266">
        <v>19.920651630593341</v>
      </c>
      <c r="Q11" s="266">
        <v>23.730552017434441</v>
      </c>
      <c r="R11" s="266">
        <v>8.0482581134651685</v>
      </c>
      <c r="S11" s="266">
        <v>39.868982629999998</v>
      </c>
      <c r="T11" s="265">
        <v>-7.6917899949926066E-2</v>
      </c>
      <c r="U11" s="265">
        <v>4.7022848434798432E-2</v>
      </c>
      <c r="V11" s="265">
        <v>8.7601251344702577E-2</v>
      </c>
      <c r="W11" s="265">
        <v>0.48511616851522721</v>
      </c>
      <c r="X11" s="265">
        <v>0.40249442291518872</v>
      </c>
      <c r="Y11" s="265">
        <v>0.57438700238792317</v>
      </c>
      <c r="Z11" s="265">
        <v>0.57438700238792317</v>
      </c>
      <c r="AA11" s="265">
        <v>0.20527988770688679</v>
      </c>
    </row>
    <row r="12" spans="1:27" ht="14" customHeight="1">
      <c r="A12" s="264" t="s">
        <v>669</v>
      </c>
      <c r="B12" s="81">
        <v>27</v>
      </c>
      <c r="C12" s="265">
        <v>9.5402000000000001E-2</v>
      </c>
      <c r="D12" s="265">
        <v>0.21993025537047731</v>
      </c>
      <c r="E12" s="265">
        <v>0.21471018773708811</v>
      </c>
      <c r="F12" s="265">
        <v>7.2438930566375348E-2</v>
      </c>
      <c r="G12" s="266">
        <v>0.72993739029315097</v>
      </c>
      <c r="H12" s="266">
        <v>1.213678059</v>
      </c>
      <c r="I12" s="265">
        <v>8.2311259067999992E-2</v>
      </c>
      <c r="J12" s="265">
        <v>0.32651548200000002</v>
      </c>
      <c r="K12" s="265">
        <v>3.27E-2</v>
      </c>
      <c r="L12" s="265">
        <v>0.49610010489701611</v>
      </c>
      <c r="M12" s="265">
        <v>5.3643489882759049E-2</v>
      </c>
      <c r="N12" s="266">
        <v>1.13448966576795</v>
      </c>
      <c r="O12" s="266">
        <v>2.716806820830771</v>
      </c>
      <c r="P12" s="266">
        <v>9.0584337449963712</v>
      </c>
      <c r="Q12" s="266">
        <v>12.44356641044198</v>
      </c>
      <c r="R12" s="266">
        <v>2.079228762269691</v>
      </c>
      <c r="S12" s="266">
        <v>8.5569429499999998</v>
      </c>
      <c r="T12" s="265">
        <v>0.2161979007773914</v>
      </c>
      <c r="U12" s="265">
        <v>2.7555214498372151E-2</v>
      </c>
      <c r="V12" s="265">
        <v>0.29525129500038327</v>
      </c>
      <c r="W12" s="265">
        <v>1.662660320026861</v>
      </c>
      <c r="X12" s="265">
        <v>0.93394694708401738</v>
      </c>
      <c r="Y12" s="265">
        <v>0.38147319427015952</v>
      </c>
      <c r="Z12" s="265">
        <v>0.38147319427015952</v>
      </c>
      <c r="AA12" s="265">
        <v>0.2183077321418235</v>
      </c>
    </row>
    <row r="13" spans="1:27" ht="14" customHeight="1">
      <c r="A13" s="264" t="s">
        <v>670</v>
      </c>
      <c r="B13" s="81">
        <v>39</v>
      </c>
      <c r="C13" s="265">
        <v>6.6592499999999999E-2</v>
      </c>
      <c r="D13" s="265">
        <v>5.4640347856453157E-3</v>
      </c>
      <c r="E13" s="265">
        <v>3.998298673676595E-4</v>
      </c>
      <c r="F13" s="265">
        <v>0.19962886196952609</v>
      </c>
      <c r="G13" s="266">
        <v>0.56767432387195649</v>
      </c>
      <c r="H13" s="266">
        <v>1.460916203</v>
      </c>
      <c r="I13" s="265">
        <v>9.5167642555999993E-2</v>
      </c>
      <c r="J13" s="265">
        <v>0.273615777</v>
      </c>
      <c r="K13" s="265">
        <v>3.27E-2</v>
      </c>
      <c r="L13" s="265">
        <v>0.72854672843869928</v>
      </c>
      <c r="M13" s="265">
        <v>4.3701176433561757E-2</v>
      </c>
      <c r="N13" s="266">
        <v>0.1981192658999176</v>
      </c>
      <c r="O13" s="266">
        <v>6.1683847676838122</v>
      </c>
      <c r="P13" s="266" t="s">
        <v>188</v>
      </c>
      <c r="Q13" s="266" t="s">
        <v>188</v>
      </c>
      <c r="R13" s="266">
        <v>1.2734532848331901</v>
      </c>
      <c r="S13" s="266">
        <v>18.04954541</v>
      </c>
      <c r="T13" s="265" t="s">
        <v>188</v>
      </c>
      <c r="U13" s="265">
        <v>7.8033454976208019E-2</v>
      </c>
      <c r="V13" s="265">
        <v>7.4357875342783972E-2</v>
      </c>
      <c r="W13" s="265">
        <v>-71.686443300801812</v>
      </c>
      <c r="X13" s="265">
        <v>0.1405687926327982</v>
      </c>
      <c r="Y13" s="265">
        <v>0.22212173378697719</v>
      </c>
      <c r="Z13" s="265">
        <v>0.22212173378697719</v>
      </c>
      <c r="AA13" s="265">
        <v>2.3068951960916609E-3</v>
      </c>
    </row>
    <row r="14" spans="1:27" ht="14" customHeight="1">
      <c r="A14" s="264" t="s">
        <v>671</v>
      </c>
      <c r="B14" s="81">
        <v>42</v>
      </c>
      <c r="C14" s="265">
        <v>0.1230689655</v>
      </c>
      <c r="D14" s="265">
        <v>9.014496582530461E-2</v>
      </c>
      <c r="E14" s="265">
        <v>0.18653741318760031</v>
      </c>
      <c r="F14" s="265">
        <v>0.24825877329412099</v>
      </c>
      <c r="G14" s="266">
        <v>1.018531283920481</v>
      </c>
      <c r="H14" s="266">
        <v>1.2316485930000001</v>
      </c>
      <c r="I14" s="265">
        <v>8.3245726835999997E-2</v>
      </c>
      <c r="J14" s="265">
        <v>0.30778449400000002</v>
      </c>
      <c r="K14" s="265">
        <v>3.27E-2</v>
      </c>
      <c r="L14" s="265">
        <v>0.2428491527610433</v>
      </c>
      <c r="M14" s="265">
        <v>6.8985448074364741E-2</v>
      </c>
      <c r="N14" s="266">
        <v>2.4160680603787998</v>
      </c>
      <c r="O14" s="266">
        <v>1.6042963359031559</v>
      </c>
      <c r="P14" s="266">
        <v>12.27972857387538</v>
      </c>
      <c r="Q14" s="266">
        <v>17.355248688509789</v>
      </c>
      <c r="R14" s="266">
        <v>3.98765463984317</v>
      </c>
      <c r="S14" s="266">
        <v>25.417557009999999</v>
      </c>
      <c r="T14" s="265">
        <v>0.15914948522476621</v>
      </c>
      <c r="U14" s="265">
        <v>2.8101837152804371E-2</v>
      </c>
      <c r="V14" s="265">
        <v>1.82734444275288E-2</v>
      </c>
      <c r="W14" s="265">
        <v>0.30102471254587032</v>
      </c>
      <c r="X14" s="265">
        <v>0.14051425963604219</v>
      </c>
      <c r="Y14" s="265">
        <v>0.26745584007445511</v>
      </c>
      <c r="Z14" s="265">
        <v>0.26745584007445511</v>
      </c>
      <c r="AA14" s="265">
        <v>9.2213892895124758E-2</v>
      </c>
    </row>
    <row r="15" spans="1:27" ht="14" customHeight="1">
      <c r="A15" s="264" t="s">
        <v>672</v>
      </c>
      <c r="B15" s="81">
        <v>165</v>
      </c>
      <c r="C15" s="265">
        <v>9.5694102559999994E-2</v>
      </c>
      <c r="D15" s="265">
        <v>0.10186274115821869</v>
      </c>
      <c r="E15" s="265">
        <v>0.2193703432956895</v>
      </c>
      <c r="F15" s="265">
        <v>0.2023690273438806</v>
      </c>
      <c r="G15" s="266">
        <v>0.89488661716469986</v>
      </c>
      <c r="H15" s="266">
        <v>1.065922206</v>
      </c>
      <c r="I15" s="265">
        <v>7.4627954711999997E-2</v>
      </c>
      <c r="J15" s="265">
        <v>0.43797296699999999</v>
      </c>
      <c r="K15" s="265">
        <v>3.6700000000000003E-2</v>
      </c>
      <c r="L15" s="265">
        <v>0.23257179257409591</v>
      </c>
      <c r="M15" s="265">
        <v>6.3673136099093697E-2</v>
      </c>
      <c r="N15" s="266">
        <v>2.2774748412500991</v>
      </c>
      <c r="O15" s="266">
        <v>2.391438307118988</v>
      </c>
      <c r="P15" s="266">
        <v>13.995354841319831</v>
      </c>
      <c r="Q15" s="266">
        <v>22.566579621152741</v>
      </c>
      <c r="R15" s="266">
        <v>5.0026678252480616</v>
      </c>
      <c r="S15" s="266">
        <v>47.538331929999998</v>
      </c>
      <c r="T15" s="265">
        <v>0.1466296314309265</v>
      </c>
      <c r="U15" s="265">
        <v>3.475301358749025E-2</v>
      </c>
      <c r="V15" s="265">
        <v>1.142438648740118E-2</v>
      </c>
      <c r="W15" s="265">
        <v>0.21646275829927769</v>
      </c>
      <c r="X15" s="265">
        <v>0.1023644992659257</v>
      </c>
      <c r="Y15" s="265">
        <v>0.73822621955670353</v>
      </c>
      <c r="Z15" s="265">
        <v>0.73822621955670353</v>
      </c>
      <c r="AA15" s="265">
        <v>0.1050416376379489</v>
      </c>
    </row>
    <row r="16" spans="1:27" ht="14" customHeight="1">
      <c r="A16" s="264" t="s">
        <v>673</v>
      </c>
      <c r="B16" s="81">
        <v>14</v>
      </c>
      <c r="C16" s="265">
        <v>3.7785714290000001E-2</v>
      </c>
      <c r="D16" s="265">
        <v>0.17946618863973929</v>
      </c>
      <c r="E16" s="265">
        <v>0.1214617357071618</v>
      </c>
      <c r="F16" s="265">
        <v>0.21218716705726151</v>
      </c>
      <c r="G16" s="266">
        <v>0.77660827932883303</v>
      </c>
      <c r="H16" s="266">
        <v>1.1145650039999999</v>
      </c>
      <c r="I16" s="265">
        <v>7.715738020799999E-2</v>
      </c>
      <c r="J16" s="265">
        <v>0.25027460600000001</v>
      </c>
      <c r="K16" s="265">
        <v>3.27E-2</v>
      </c>
      <c r="L16" s="265">
        <v>0.37567083068677742</v>
      </c>
      <c r="M16" s="265">
        <v>5.7384930214238329E-2</v>
      </c>
      <c r="N16" s="266">
        <v>0.79236723103221673</v>
      </c>
      <c r="O16" s="266">
        <v>3.4385723692403651</v>
      </c>
      <c r="P16" s="266">
        <v>10.120034944574691</v>
      </c>
      <c r="Q16" s="266">
        <v>18.551735617790541</v>
      </c>
      <c r="R16" s="266">
        <v>2.6112367323551209</v>
      </c>
      <c r="S16" s="266">
        <v>80.571983590000002</v>
      </c>
      <c r="T16" s="265">
        <v>1.4944040070023311E-2</v>
      </c>
      <c r="U16" s="265">
        <v>0.11188728331600301</v>
      </c>
      <c r="V16" s="265">
        <v>0.16575228492078839</v>
      </c>
      <c r="W16" s="265">
        <v>1.2440278026780629</v>
      </c>
      <c r="X16" s="265">
        <v>0.1175569947789873</v>
      </c>
      <c r="Y16" s="265">
        <v>0.2315056004167752</v>
      </c>
      <c r="Z16" s="265">
        <v>0.23150560041677529</v>
      </c>
      <c r="AA16" s="265">
        <v>0.1793052087689119</v>
      </c>
    </row>
    <row r="17" spans="1:27" ht="14" customHeight="1">
      <c r="A17" s="264" t="s">
        <v>674</v>
      </c>
      <c r="B17" s="81">
        <v>43</v>
      </c>
      <c r="C17" s="265">
        <v>6.7821764709999996E-2</v>
      </c>
      <c r="D17" s="265">
        <v>8.2980436120185422E-2</v>
      </c>
      <c r="E17" s="265">
        <v>0.1168158045595494</v>
      </c>
      <c r="F17" s="265">
        <v>0.25877611940298512</v>
      </c>
      <c r="G17" s="266">
        <v>0.99295661249847555</v>
      </c>
      <c r="H17" s="266">
        <v>1.3668277090000001</v>
      </c>
      <c r="I17" s="265">
        <v>9.0275040867999992E-2</v>
      </c>
      <c r="J17" s="265">
        <v>0.51958372900000005</v>
      </c>
      <c r="K17" s="265">
        <v>3.6700000000000003E-2</v>
      </c>
      <c r="L17" s="265">
        <v>0.37921577053650712</v>
      </c>
      <c r="M17" s="265">
        <v>6.6479235769044062E-2</v>
      </c>
      <c r="N17" s="266">
        <v>1.50217909969969</v>
      </c>
      <c r="O17" s="266">
        <v>1.2999513253428889</v>
      </c>
      <c r="P17" s="266">
        <v>8.2415773093873046</v>
      </c>
      <c r="Q17" s="266">
        <v>15.401535422513209</v>
      </c>
      <c r="R17" s="266">
        <v>2.115439610368818</v>
      </c>
      <c r="S17" s="266">
        <v>16.110174529999998</v>
      </c>
      <c r="T17" s="265">
        <v>0.1608940905521741</v>
      </c>
      <c r="U17" s="265">
        <v>5.5176156888381199E-2</v>
      </c>
      <c r="V17" s="265">
        <v>5.9233258780531678E-2</v>
      </c>
      <c r="W17" s="265">
        <v>0.75719450233441843</v>
      </c>
      <c r="X17" s="265">
        <v>9.1573417508780869E-2</v>
      </c>
      <c r="Y17" s="265">
        <v>0.90862384252056094</v>
      </c>
      <c r="Z17" s="265">
        <v>0.90862384252056094</v>
      </c>
      <c r="AA17" s="265">
        <v>8.3326025178573279E-2</v>
      </c>
    </row>
    <row r="18" spans="1:27" ht="14" customHeight="1">
      <c r="A18" s="264" t="s">
        <v>675</v>
      </c>
      <c r="B18" s="81">
        <v>6</v>
      </c>
      <c r="C18" s="265">
        <v>-4.7995000000000003E-2</v>
      </c>
      <c r="D18" s="265">
        <v>0.1074891851802883</v>
      </c>
      <c r="E18" s="265">
        <v>0.11784519554019141</v>
      </c>
      <c r="F18" s="265">
        <v>0.2309970384995064</v>
      </c>
      <c r="G18" s="266">
        <v>1.2147165368811399</v>
      </c>
      <c r="H18" s="266">
        <v>1.8528643010000001</v>
      </c>
      <c r="I18" s="265">
        <v>0.115548943652</v>
      </c>
      <c r="J18" s="265">
        <v>0.35918607699999999</v>
      </c>
      <c r="K18" s="265">
        <v>3.27E-2</v>
      </c>
      <c r="L18" s="265">
        <v>0.44027836028539158</v>
      </c>
      <c r="M18" s="265">
        <v>7.5473070994187555E-2</v>
      </c>
      <c r="N18" s="266">
        <v>1.236488909356743</v>
      </c>
      <c r="O18" s="266">
        <v>1.3518785476120629</v>
      </c>
      <c r="P18" s="266">
        <v>7.9392908395149808</v>
      </c>
      <c r="Q18" s="266">
        <v>12.525383754048811</v>
      </c>
      <c r="R18" s="266">
        <v>1.8923261761731991</v>
      </c>
      <c r="S18" s="266">
        <v>10.48037633</v>
      </c>
      <c r="T18" s="265">
        <v>0.1999677724570196</v>
      </c>
      <c r="U18" s="265">
        <v>5.6617182238492082E-2</v>
      </c>
      <c r="V18" s="265">
        <v>4.695528221824662E-3</v>
      </c>
      <c r="W18" s="265">
        <v>6.579985416702698E-2</v>
      </c>
      <c r="X18" s="265">
        <v>0.1006505710568165</v>
      </c>
      <c r="Y18" s="265">
        <v>0.62721440199176481</v>
      </c>
      <c r="Z18" s="265">
        <v>0.62721440199176481</v>
      </c>
      <c r="AA18" s="265">
        <v>0.10814244321961421</v>
      </c>
    </row>
    <row r="19" spans="1:27" ht="14" customHeight="1">
      <c r="A19" s="264" t="s">
        <v>676</v>
      </c>
      <c r="B19" s="81">
        <v>94</v>
      </c>
      <c r="C19" s="265">
        <v>6.7821886789999994E-2</v>
      </c>
      <c r="D19" s="265">
        <v>0.12568248019756359</v>
      </c>
      <c r="E19" s="265">
        <v>0.12929574120609</v>
      </c>
      <c r="F19" s="265">
        <v>0.254286908586703</v>
      </c>
      <c r="G19" s="266">
        <v>0.96485709428166544</v>
      </c>
      <c r="H19" s="266">
        <v>1.1351903860000001</v>
      </c>
      <c r="I19" s="265">
        <v>7.8229900071999994E-2</v>
      </c>
      <c r="J19" s="265">
        <v>0.48361232900000001</v>
      </c>
      <c r="K19" s="265">
        <v>3.6700000000000003E-2</v>
      </c>
      <c r="L19" s="265">
        <v>0.22194966217538839</v>
      </c>
      <c r="M19" s="265">
        <v>6.6975964630382773E-2</v>
      </c>
      <c r="N19" s="266">
        <v>1.125036869990941</v>
      </c>
      <c r="O19" s="266">
        <v>2.0907907037401419</v>
      </c>
      <c r="P19" s="266">
        <v>10.56424684391734</v>
      </c>
      <c r="Q19" s="266">
        <v>16.37761563713071</v>
      </c>
      <c r="R19" s="266">
        <v>2.6117664773403648</v>
      </c>
      <c r="S19" s="266">
        <v>25.33832554</v>
      </c>
      <c r="T19" s="265">
        <v>0.163264963981507</v>
      </c>
      <c r="U19" s="265">
        <v>5.1255363344911528E-2</v>
      </c>
      <c r="V19" s="265">
        <v>4.7013213610677777E-2</v>
      </c>
      <c r="W19" s="265">
        <v>0.6110310002670083</v>
      </c>
      <c r="X19" s="265">
        <v>5.6845590271146877E-2</v>
      </c>
      <c r="Y19" s="265">
        <v>0.63994212453650456</v>
      </c>
      <c r="Z19" s="265">
        <v>0.63994212453650456</v>
      </c>
      <c r="AA19" s="265">
        <v>0.1289481350888777</v>
      </c>
    </row>
    <row r="20" spans="1:27" ht="14" customHeight="1">
      <c r="A20" s="264" t="s">
        <v>677</v>
      </c>
      <c r="B20" s="81">
        <v>22</v>
      </c>
      <c r="C20" s="265">
        <v>-0.11687142859999999</v>
      </c>
      <c r="D20" s="265">
        <v>6.6301168875299604E-2</v>
      </c>
      <c r="E20" s="265">
        <v>0.12696818066119869</v>
      </c>
      <c r="F20" s="265">
        <v>2.6527058823529411E-2</v>
      </c>
      <c r="G20" s="266">
        <v>1.048664364023278</v>
      </c>
      <c r="H20" s="266">
        <v>1.3959042749999999</v>
      </c>
      <c r="I20" s="265">
        <v>9.1787022299999993E-2</v>
      </c>
      <c r="J20" s="265">
        <v>0.54709193</v>
      </c>
      <c r="K20" s="265">
        <v>3.6700000000000003E-2</v>
      </c>
      <c r="L20" s="265">
        <v>0.44348948803773941</v>
      </c>
      <c r="M20" s="265">
        <v>6.3287490929903212E-2</v>
      </c>
      <c r="N20" s="266">
        <v>1.8584999265102531</v>
      </c>
      <c r="O20" s="266">
        <v>0.61661760957763034</v>
      </c>
      <c r="P20" s="266">
        <v>2.2516026127492079</v>
      </c>
      <c r="Q20" s="266">
        <v>6.3252013430003098</v>
      </c>
      <c r="R20" s="266">
        <v>0.85799855612721543</v>
      </c>
      <c r="S20" s="266">
        <v>10.29573167</v>
      </c>
      <c r="T20" s="265">
        <v>5.9359084201607119E-2</v>
      </c>
      <c r="U20" s="265">
        <v>7.9254243453653797E-2</v>
      </c>
      <c r="V20" s="265">
        <v>-8.4905854567333284E-3</v>
      </c>
      <c r="W20" s="265">
        <v>0.12652077511135351</v>
      </c>
      <c r="X20" s="265">
        <v>0.1158897784957988</v>
      </c>
      <c r="Y20" s="265">
        <v>0.16812163662765869</v>
      </c>
      <c r="Z20" s="265">
        <v>0.16812163662765869</v>
      </c>
      <c r="AA20" s="265">
        <v>6.8986564952907878E-2</v>
      </c>
    </row>
    <row r="21" spans="1:27" ht="14" customHeight="1">
      <c r="A21" s="264" t="s">
        <v>375</v>
      </c>
      <c r="B21" s="81">
        <v>106</v>
      </c>
      <c r="C21" s="265">
        <v>0.1582766038</v>
      </c>
      <c r="D21" s="265">
        <v>7.6459412007906929E-2</v>
      </c>
      <c r="E21" s="265">
        <v>0.2489135369885101</v>
      </c>
      <c r="F21" s="265">
        <v>0.24760645767124961</v>
      </c>
      <c r="G21" s="266">
        <v>0.95286626462920188</v>
      </c>
      <c r="H21" s="266">
        <v>1.2030223950000001</v>
      </c>
      <c r="I21" s="265">
        <v>8.1757164539999996E-2</v>
      </c>
      <c r="J21" s="265">
        <v>0.45521436300000001</v>
      </c>
      <c r="K21" s="265">
        <v>3.6700000000000003E-2</v>
      </c>
      <c r="L21" s="265">
        <v>0.30865289332072232</v>
      </c>
      <c r="M21" s="265">
        <v>6.5018250043683515E-2</v>
      </c>
      <c r="N21" s="266">
        <v>3.36574919129239</v>
      </c>
      <c r="O21" s="266">
        <v>1.281841587578139</v>
      </c>
      <c r="P21" s="266">
        <v>10.3615207230108</v>
      </c>
      <c r="Q21" s="266">
        <v>15.919852718087521</v>
      </c>
      <c r="R21" s="266">
        <v>3.8076090055636551</v>
      </c>
      <c r="S21" s="266">
        <v>29.133204800000001</v>
      </c>
      <c r="T21" s="265">
        <v>0.1277046643289384</v>
      </c>
      <c r="U21" s="265">
        <v>1.4625222241111719E-2</v>
      </c>
      <c r="V21" s="265">
        <v>0.1091026251261477</v>
      </c>
      <c r="W21" s="265">
        <v>1.7986021688326539</v>
      </c>
      <c r="X21" s="265">
        <v>0.17286940934309589</v>
      </c>
      <c r="Y21" s="265">
        <v>0.52135572556874443</v>
      </c>
      <c r="Z21" s="265">
        <v>0.52135572556874443</v>
      </c>
      <c r="AA21" s="265">
        <v>8.1088643921760961E-2</v>
      </c>
    </row>
    <row r="22" spans="1:27" ht="14" customHeight="1">
      <c r="A22" s="264" t="s">
        <v>388</v>
      </c>
      <c r="B22" s="81">
        <v>48</v>
      </c>
      <c r="C22" s="265">
        <v>-1.9206818180000002E-2</v>
      </c>
      <c r="D22" s="265">
        <v>0.15505305501311761</v>
      </c>
      <c r="E22" s="265">
        <v>0.22641153931592001</v>
      </c>
      <c r="F22" s="265">
        <v>0.15801633058493911</v>
      </c>
      <c r="G22" s="266">
        <v>1.6400833392351299</v>
      </c>
      <c r="H22" s="266">
        <v>1.748007023</v>
      </c>
      <c r="I22" s="265">
        <v>0.110096365196</v>
      </c>
      <c r="J22" s="265">
        <v>0.50405888700000001</v>
      </c>
      <c r="K22" s="265">
        <v>3.6700000000000003E-2</v>
      </c>
      <c r="L22" s="265">
        <v>0.13413065168401631</v>
      </c>
      <c r="M22" s="265">
        <v>9.9021014171821603E-2</v>
      </c>
      <c r="N22" s="266">
        <v>1.519805777338354</v>
      </c>
      <c r="O22" s="266">
        <v>3.2265807729785139</v>
      </c>
      <c r="P22" s="266">
        <v>15.129052029671969</v>
      </c>
      <c r="Q22" s="266">
        <v>20.798592202677021</v>
      </c>
      <c r="R22" s="266">
        <v>11.026904564318411</v>
      </c>
      <c r="S22" s="266">
        <v>28.918676869999999</v>
      </c>
      <c r="T22" s="265">
        <v>-8.1286689189563721E-2</v>
      </c>
      <c r="U22" s="265">
        <v>3.5109154999138747E-2</v>
      </c>
      <c r="V22" s="265">
        <v>6.7355542549207524E-3</v>
      </c>
      <c r="W22" s="265">
        <v>9.30639604432245E-2</v>
      </c>
      <c r="X22" s="265">
        <v>0.39992894420649971</v>
      </c>
      <c r="Y22" s="265">
        <v>0.26844042237803289</v>
      </c>
      <c r="Z22" s="265">
        <v>0.26844042237803289</v>
      </c>
      <c r="AA22" s="265">
        <v>0.15857313757823291</v>
      </c>
    </row>
    <row r="23" spans="1:27" ht="14" customHeight="1">
      <c r="A23" s="264" t="s">
        <v>678</v>
      </c>
      <c r="B23" s="81">
        <v>44</v>
      </c>
      <c r="C23" s="265">
        <v>4.333E-2</v>
      </c>
      <c r="D23" s="265">
        <v>0.11925932256903241</v>
      </c>
      <c r="E23" s="265">
        <v>0.1598085392980638</v>
      </c>
      <c r="F23" s="265">
        <v>0.22146818993833919</v>
      </c>
      <c r="G23" s="266">
        <v>1.10359654774166</v>
      </c>
      <c r="H23" s="266">
        <v>1.363622994</v>
      </c>
      <c r="I23" s="265">
        <v>9.0108395687999984E-2</v>
      </c>
      <c r="J23" s="265">
        <v>0.29907074300000003</v>
      </c>
      <c r="K23" s="265">
        <v>3.27E-2</v>
      </c>
      <c r="L23" s="265">
        <v>0.2864146483685801</v>
      </c>
      <c r="M23" s="265">
        <v>7.1324350473204012E-2</v>
      </c>
      <c r="N23" s="266">
        <v>1.568612050693666</v>
      </c>
      <c r="O23" s="266">
        <v>1.681907440072824</v>
      </c>
      <c r="P23" s="266">
        <v>10.49874203944327</v>
      </c>
      <c r="Q23" s="266">
        <v>13.977919645053261</v>
      </c>
      <c r="R23" s="266">
        <v>3.408044490787733</v>
      </c>
      <c r="S23" s="266">
        <v>39.580936819999998</v>
      </c>
      <c r="T23" s="265">
        <v>0.15084214838812909</v>
      </c>
      <c r="U23" s="265">
        <v>5.165879247732081E-2</v>
      </c>
      <c r="V23" s="265">
        <v>4.4032904078034799E-2</v>
      </c>
      <c r="W23" s="265">
        <v>0.65085249622129537</v>
      </c>
      <c r="X23" s="265">
        <v>0.24777437380856951</v>
      </c>
      <c r="Y23" s="265">
        <v>0.28546259658334311</v>
      </c>
      <c r="Z23" s="265">
        <v>0.28546259658334311</v>
      </c>
      <c r="AA23" s="265">
        <v>0.12089188261342131</v>
      </c>
    </row>
    <row r="24" spans="1:27" ht="14" customHeight="1">
      <c r="A24" s="264" t="s">
        <v>679</v>
      </c>
      <c r="B24" s="81">
        <v>23</v>
      </c>
      <c r="C24" s="265">
        <v>0.15157999999999999</v>
      </c>
      <c r="D24" s="265">
        <v>0.13716128195166619</v>
      </c>
      <c r="E24" s="265">
        <v>0.11554605698734829</v>
      </c>
      <c r="F24" s="265">
        <v>0.17898424204919669</v>
      </c>
      <c r="G24" s="266">
        <v>1.2484828302966491</v>
      </c>
      <c r="H24" s="266">
        <v>1.4018521020000001</v>
      </c>
      <c r="I24" s="265">
        <v>9.2096309303999993E-2</v>
      </c>
      <c r="J24" s="265">
        <v>0.38156955399999998</v>
      </c>
      <c r="K24" s="265">
        <v>3.27E-2</v>
      </c>
      <c r="L24" s="265">
        <v>0.237569073486817</v>
      </c>
      <c r="M24" s="265">
        <v>7.604345595835757E-2</v>
      </c>
      <c r="N24" s="266">
        <v>0.90716458825137425</v>
      </c>
      <c r="O24" s="266">
        <v>2.4462397391015189</v>
      </c>
      <c r="P24" s="266">
        <v>12.920713109809119</v>
      </c>
      <c r="Q24" s="266">
        <v>17.84345276157449</v>
      </c>
      <c r="R24" s="266">
        <v>1.930843543569484</v>
      </c>
      <c r="S24" s="266">
        <v>22.7751588</v>
      </c>
      <c r="T24" s="265">
        <v>5.5528961897387402E-2</v>
      </c>
      <c r="U24" s="265">
        <v>5.6974823001817762E-2</v>
      </c>
      <c r="V24" s="265">
        <v>2.7970246119444771E-2</v>
      </c>
      <c r="W24" s="265">
        <v>0.28604175363623607</v>
      </c>
      <c r="X24" s="265">
        <v>7.8600207761288399E-2</v>
      </c>
      <c r="Y24" s="265">
        <v>0.1822263199573714</v>
      </c>
      <c r="Z24" s="265">
        <v>0.18222631995737151</v>
      </c>
      <c r="AA24" s="265">
        <v>0.13653176793162761</v>
      </c>
    </row>
    <row r="25" spans="1:27" ht="14" customHeight="1">
      <c r="A25" s="264" t="s">
        <v>680</v>
      </c>
      <c r="B25" s="81">
        <v>503</v>
      </c>
      <c r="C25" s="265">
        <v>0.31894077459999998</v>
      </c>
      <c r="D25" s="265">
        <v>0.11254811389226781</v>
      </c>
      <c r="E25" s="265">
        <v>8.6418583640002003E-2</v>
      </c>
      <c r="F25" s="265">
        <v>0.14877682505820511</v>
      </c>
      <c r="G25" s="266">
        <v>1.3891731337867139</v>
      </c>
      <c r="H25" s="266">
        <v>1.4334516639999999</v>
      </c>
      <c r="I25" s="265">
        <v>9.3739486527999988E-2</v>
      </c>
      <c r="J25" s="265">
        <v>0.67447285999999995</v>
      </c>
      <c r="K25" s="265">
        <v>4.4200000000000003E-2</v>
      </c>
      <c r="L25" s="265">
        <v>0.12726538790327399</v>
      </c>
      <c r="M25" s="265">
        <v>8.6028542022153875E-2</v>
      </c>
      <c r="N25" s="266">
        <v>0.4284180215573512</v>
      </c>
      <c r="O25" s="266">
        <v>7.3280411636878471</v>
      </c>
      <c r="P25" s="266">
        <v>13.294180666265779</v>
      </c>
      <c r="Q25" s="266">
        <v>45.768304108938807</v>
      </c>
      <c r="R25" s="266">
        <v>7.0786175954530641</v>
      </c>
      <c r="S25" s="266">
        <v>77.555608820000003</v>
      </c>
      <c r="T25" s="265">
        <v>0.13136289662695039</v>
      </c>
      <c r="U25" s="265">
        <v>4.044147279993307E-2</v>
      </c>
      <c r="V25" s="265">
        <v>9.589662876354435E-2</v>
      </c>
      <c r="W25" s="265">
        <v>1.6406232719984071</v>
      </c>
      <c r="X25" s="265">
        <v>-9.3674031670314493E-3</v>
      </c>
      <c r="Y25" s="265">
        <v>1.02280404E-3</v>
      </c>
      <c r="Z25" s="265">
        <v>1.022804039999992E-3</v>
      </c>
      <c r="AA25" s="265">
        <v>0.20239160409629861</v>
      </c>
    </row>
    <row r="26" spans="1:27" ht="14" customHeight="1">
      <c r="A26" s="264" t="s">
        <v>681</v>
      </c>
      <c r="B26" s="81">
        <v>267</v>
      </c>
      <c r="C26" s="265">
        <v>0.31720549999999997</v>
      </c>
      <c r="D26" s="265">
        <v>0.24854001055085331</v>
      </c>
      <c r="E26" s="265">
        <v>0.18292849705273639</v>
      </c>
      <c r="F26" s="265">
        <v>0.13193476060329151</v>
      </c>
      <c r="G26" s="266">
        <v>1.285657536694923</v>
      </c>
      <c r="H26" s="266">
        <v>1.3615909020000001</v>
      </c>
      <c r="I26" s="265">
        <v>9.0002726903999991E-2</v>
      </c>
      <c r="J26" s="265">
        <v>0.77136651300000003</v>
      </c>
      <c r="K26" s="265">
        <v>6.9199999999999998E-2</v>
      </c>
      <c r="L26" s="265">
        <v>0.12990956038859611</v>
      </c>
      <c r="M26" s="265">
        <v>8.5052818402294617E-2</v>
      </c>
      <c r="N26" s="266">
        <v>0.76219970760471745</v>
      </c>
      <c r="O26" s="266">
        <v>5.436403122818616</v>
      </c>
      <c r="P26" s="266">
        <v>14.565500802857629</v>
      </c>
      <c r="Q26" s="266">
        <v>21.07643271952929</v>
      </c>
      <c r="R26" s="266">
        <v>6.3319439326783522</v>
      </c>
      <c r="S26" s="266">
        <v>58.183541409999997</v>
      </c>
      <c r="T26" s="265">
        <v>0.20669911076277769</v>
      </c>
      <c r="U26" s="265">
        <v>5.1571590198258972E-2</v>
      </c>
      <c r="V26" s="265">
        <v>9.4703311269732415E-2</v>
      </c>
      <c r="W26" s="265">
        <v>0.43560733665315671</v>
      </c>
      <c r="X26" s="265">
        <v>0.215081199870364</v>
      </c>
      <c r="Y26" s="265">
        <v>0.61394090234833509</v>
      </c>
      <c r="Z26" s="265">
        <v>0.61394090234833509</v>
      </c>
      <c r="AA26" s="265">
        <v>0.2433667420433816</v>
      </c>
    </row>
    <row r="27" spans="1:27" ht="14" customHeight="1">
      <c r="A27" s="264" t="s">
        <v>682</v>
      </c>
      <c r="B27" s="81">
        <v>35</v>
      </c>
      <c r="C27" s="265">
        <v>2.7605000000000001E-2</v>
      </c>
      <c r="D27" s="265">
        <v>8.75006247872748E-2</v>
      </c>
      <c r="E27" s="265">
        <v>0.1084500184444037</v>
      </c>
      <c r="F27" s="265">
        <v>0.28479355915895521</v>
      </c>
      <c r="G27" s="266">
        <v>1.3560146590000439</v>
      </c>
      <c r="H27" s="266">
        <v>1.6056034619999999</v>
      </c>
      <c r="I27" s="265">
        <v>0.102691380024</v>
      </c>
      <c r="J27" s="265">
        <v>0.37644069299999999</v>
      </c>
      <c r="K27" s="265">
        <v>3.27E-2</v>
      </c>
      <c r="L27" s="265">
        <v>0.25194385204485398</v>
      </c>
      <c r="M27" s="265">
        <v>8.2997841140351497E-2</v>
      </c>
      <c r="N27" s="266">
        <v>1.311308612074702</v>
      </c>
      <c r="O27" s="266">
        <v>2.5873418383740772</v>
      </c>
      <c r="P27" s="266">
        <v>14.46065486087597</v>
      </c>
      <c r="Q27" s="266">
        <v>29.266476426780478</v>
      </c>
      <c r="R27" s="266">
        <v>2.509803073480382</v>
      </c>
      <c r="S27" s="266">
        <v>22.195640000000001</v>
      </c>
      <c r="T27" s="265">
        <v>0.1230514372487463</v>
      </c>
      <c r="U27" s="265">
        <v>5.1996522612539058E-2</v>
      </c>
      <c r="V27" s="265">
        <v>5.7971333569760787E-2</v>
      </c>
      <c r="W27" s="265">
        <v>1.213183597460687</v>
      </c>
      <c r="X27" s="265">
        <v>0.12899887000370261</v>
      </c>
      <c r="Y27" s="265">
        <v>4.5584872520508538E-2</v>
      </c>
      <c r="Z27" s="265">
        <v>4.5584872520508579E-2</v>
      </c>
      <c r="AA27" s="265">
        <v>8.8427339322563983E-2</v>
      </c>
    </row>
    <row r="28" spans="1:27" ht="14" customHeight="1">
      <c r="A28" s="264" t="s">
        <v>683</v>
      </c>
      <c r="B28" s="81">
        <v>113</v>
      </c>
      <c r="C28" s="265">
        <v>9.1217000000000006E-2</v>
      </c>
      <c r="D28" s="265">
        <v>0.13609823618673311</v>
      </c>
      <c r="E28" s="265">
        <v>0.25595347603691587</v>
      </c>
      <c r="F28" s="265">
        <v>0.1808844596522855</v>
      </c>
      <c r="G28" s="266">
        <v>1.307118859086069</v>
      </c>
      <c r="H28" s="266">
        <v>1.444743618</v>
      </c>
      <c r="I28" s="265">
        <v>9.4326668135999991E-2</v>
      </c>
      <c r="J28" s="265">
        <v>0.53671661199999998</v>
      </c>
      <c r="K28" s="265">
        <v>3.6700000000000003E-2</v>
      </c>
      <c r="L28" s="265">
        <v>0.1735259964182832</v>
      </c>
      <c r="M28" s="265">
        <v>8.2734842110297122E-2</v>
      </c>
      <c r="N28" s="266">
        <v>1.897564218005988</v>
      </c>
      <c r="O28" s="266">
        <v>2.5604867947806351</v>
      </c>
      <c r="P28" s="266">
        <v>12.818428152115869</v>
      </c>
      <c r="Q28" s="266">
        <v>17.788042477349549</v>
      </c>
      <c r="R28" s="266">
        <v>4.8466575845903419</v>
      </c>
      <c r="S28" s="266">
        <v>29.84977452</v>
      </c>
      <c r="T28" s="265">
        <v>0.1973232253608953</v>
      </c>
      <c r="U28" s="265">
        <v>4.4427375523560943E-2</v>
      </c>
      <c r="V28" s="265">
        <v>5.5372031136148428E-2</v>
      </c>
      <c r="W28" s="265">
        <v>0.53753876361700059</v>
      </c>
      <c r="X28" s="265">
        <v>0.20081954767808219</v>
      </c>
      <c r="Y28" s="265">
        <v>0.36795574474505749</v>
      </c>
      <c r="Z28" s="265">
        <v>0.36795574474505738</v>
      </c>
      <c r="AA28" s="265">
        <v>0.14033600199906909</v>
      </c>
    </row>
    <row r="29" spans="1:27" ht="14" customHeight="1">
      <c r="A29" s="264" t="s">
        <v>684</v>
      </c>
      <c r="B29" s="81">
        <v>20</v>
      </c>
      <c r="C29" s="265">
        <v>5.860727273E-2</v>
      </c>
      <c r="D29" s="265">
        <v>-1.2668277255638219E-2</v>
      </c>
      <c r="E29" s="265">
        <v>-2.1171444359315009E-2</v>
      </c>
      <c r="F29" s="265">
        <v>0.6277621534752913</v>
      </c>
      <c r="G29" s="266">
        <v>1.2507943575732801</v>
      </c>
      <c r="H29" s="266">
        <v>1.2754168990000001</v>
      </c>
      <c r="I29" s="265">
        <v>8.5521678747999999E-2</v>
      </c>
      <c r="J29" s="265">
        <v>0.62170468000000001</v>
      </c>
      <c r="K29" s="265">
        <v>3.6700000000000003E-2</v>
      </c>
      <c r="L29" s="265">
        <v>0.1712778685529541</v>
      </c>
      <c r="M29" s="265">
        <v>7.5588131228892144E-2</v>
      </c>
      <c r="N29" s="266">
        <v>1.874919543110922</v>
      </c>
      <c r="O29" s="266">
        <v>0.91423828696380727</v>
      </c>
      <c r="P29" s="266">
        <v>15.64684012583527</v>
      </c>
      <c r="Q29" s="266" t="s">
        <v>188</v>
      </c>
      <c r="R29" s="266">
        <v>2.7553905177046629</v>
      </c>
      <c r="S29" s="266">
        <v>64.235768539999995</v>
      </c>
      <c r="T29" s="265">
        <v>0.1730474165948318</v>
      </c>
      <c r="U29" s="265">
        <v>1.717341635491727E-2</v>
      </c>
      <c r="V29" s="265">
        <v>1.9784114124921071E-3</v>
      </c>
      <c r="W29" s="265" t="s">
        <v>188</v>
      </c>
      <c r="X29" s="265">
        <v>-0.101114868157656</v>
      </c>
      <c r="Y29" s="265">
        <v>0</v>
      </c>
      <c r="Z29" s="265">
        <v>0</v>
      </c>
      <c r="AA29" s="265">
        <v>-1.198304451530292E-2</v>
      </c>
    </row>
    <row r="30" spans="1:27" ht="14" customHeight="1">
      <c r="A30" s="264" t="s">
        <v>685</v>
      </c>
      <c r="B30" s="81">
        <v>153</v>
      </c>
      <c r="C30" s="265">
        <v>7.8550291260000002E-2</v>
      </c>
      <c r="D30" s="265">
        <v>8.8720799795244581E-2</v>
      </c>
      <c r="E30" s="265">
        <v>0.13973838080639481</v>
      </c>
      <c r="F30" s="265">
        <v>0.18679575425341771</v>
      </c>
      <c r="G30" s="266">
        <v>1.070921529276746</v>
      </c>
      <c r="H30" s="266">
        <v>1.1509581369999999</v>
      </c>
      <c r="I30" s="265">
        <v>7.9049823123999996E-2</v>
      </c>
      <c r="J30" s="265">
        <v>0.42778592900000001</v>
      </c>
      <c r="K30" s="265">
        <v>3.6700000000000003E-2</v>
      </c>
      <c r="L30" s="265">
        <v>0.15424621704549679</v>
      </c>
      <c r="M30" s="265">
        <v>7.1102314073184653E-2</v>
      </c>
      <c r="N30" s="266">
        <v>1.6276317885330109</v>
      </c>
      <c r="O30" s="266">
        <v>1.9925549912148579</v>
      </c>
      <c r="P30" s="266">
        <v>13.0737020019646</v>
      </c>
      <c r="Q30" s="266">
        <v>21.688493110016591</v>
      </c>
      <c r="R30" s="266">
        <v>3.2726750466864369</v>
      </c>
      <c r="S30" s="266">
        <v>125.8236254</v>
      </c>
      <c r="T30" s="265">
        <v>0.21143898800512859</v>
      </c>
      <c r="U30" s="265">
        <v>5.3726607109567733E-2</v>
      </c>
      <c r="V30" s="265">
        <v>6.666307512603098E-2</v>
      </c>
      <c r="W30" s="265">
        <v>1.0602388415031281</v>
      </c>
      <c r="X30" s="265">
        <v>0.112910675554836</v>
      </c>
      <c r="Y30" s="265">
        <v>0.2466951899111931</v>
      </c>
      <c r="Z30" s="265">
        <v>0.2466951899111931</v>
      </c>
      <c r="AA30" s="265">
        <v>9.1844761861258187E-2</v>
      </c>
    </row>
    <row r="31" spans="1:27" ht="14" customHeight="1">
      <c r="A31" s="264" t="s">
        <v>686</v>
      </c>
      <c r="B31" s="81">
        <v>54</v>
      </c>
      <c r="C31" s="265">
        <v>8.4330000000000002E-2</v>
      </c>
      <c r="D31" s="265">
        <v>3.892484333747958E-2</v>
      </c>
      <c r="E31" s="265">
        <v>0.14554412172740799</v>
      </c>
      <c r="F31" s="265">
        <v>0.2450761998256592</v>
      </c>
      <c r="G31" s="266">
        <v>1.325037876586155</v>
      </c>
      <c r="H31" s="266">
        <v>1.5972992109999999</v>
      </c>
      <c r="I31" s="265">
        <v>0.10225955897199999</v>
      </c>
      <c r="J31" s="265">
        <v>0.33192732400000002</v>
      </c>
      <c r="K31" s="265">
        <v>3.27E-2</v>
      </c>
      <c r="L31" s="265">
        <v>0.28197826162091472</v>
      </c>
      <c r="M31" s="265">
        <v>8.0340103165206955E-2</v>
      </c>
      <c r="N31" s="266">
        <v>3.9178996946113429</v>
      </c>
      <c r="O31" s="266">
        <v>0.7025277725419653</v>
      </c>
      <c r="P31" s="266">
        <v>9.7526514670295423</v>
      </c>
      <c r="Q31" s="266">
        <v>16.42695327484433</v>
      </c>
      <c r="R31" s="266">
        <v>1.8660388333226881</v>
      </c>
      <c r="S31" s="266">
        <v>18.707617849999998</v>
      </c>
      <c r="T31" s="265">
        <v>0.1773741774074804</v>
      </c>
      <c r="U31" s="265">
        <v>1.7773701630329139E-2</v>
      </c>
      <c r="V31" s="265">
        <v>2.8032183481609609E-2</v>
      </c>
      <c r="W31" s="265">
        <v>1.1865210072059751</v>
      </c>
      <c r="X31" s="265">
        <v>3.4260251320406082E-2</v>
      </c>
      <c r="Y31" s="265">
        <v>0.36861945525291828</v>
      </c>
      <c r="Z31" s="265">
        <v>0.36861945525291828</v>
      </c>
      <c r="AA31" s="265">
        <v>4.1021250351888659E-2</v>
      </c>
    </row>
    <row r="32" spans="1:27" ht="14" customHeight="1">
      <c r="A32" s="264" t="s">
        <v>687</v>
      </c>
      <c r="B32" s="81">
        <v>107</v>
      </c>
      <c r="C32" s="265">
        <v>8.0477419349999996E-2</v>
      </c>
      <c r="D32" s="265">
        <v>0.1352340728687729</v>
      </c>
      <c r="E32" s="265">
        <v>0.18572742748682841</v>
      </c>
      <c r="F32" s="265">
        <v>0.20408022173353521</v>
      </c>
      <c r="G32" s="266">
        <v>1.2017030374551589</v>
      </c>
      <c r="H32" s="266">
        <v>1.3331870219999999</v>
      </c>
      <c r="I32" s="265">
        <v>8.8525725143999992E-2</v>
      </c>
      <c r="J32" s="265">
        <v>0.55572440400000001</v>
      </c>
      <c r="K32" s="265">
        <v>3.6700000000000003E-2</v>
      </c>
      <c r="L32" s="265">
        <v>0.16712343782827421</v>
      </c>
      <c r="M32" s="265">
        <v>7.8331074247917062E-2</v>
      </c>
      <c r="N32" s="266">
        <v>1.406340852222671</v>
      </c>
      <c r="O32" s="266">
        <v>4.7187982015918033</v>
      </c>
      <c r="P32" s="266">
        <v>21.84989101321689</v>
      </c>
      <c r="Q32" s="266">
        <v>34.912738681218357</v>
      </c>
      <c r="R32" s="266">
        <v>3.7020566556354479</v>
      </c>
      <c r="S32" s="266">
        <v>47.683998889999998</v>
      </c>
      <c r="T32" s="265">
        <v>2.493294759458763E-2</v>
      </c>
      <c r="U32" s="265">
        <v>5.2789120448005461E-2</v>
      </c>
      <c r="V32" s="265">
        <v>8.193563407338543E-2</v>
      </c>
      <c r="W32" s="265">
        <v>0.83211863995345148</v>
      </c>
      <c r="X32" s="265">
        <v>0.17660188702061799</v>
      </c>
      <c r="Y32" s="265">
        <v>0.22139221107422519</v>
      </c>
      <c r="Z32" s="265">
        <v>0.2213922110742251</v>
      </c>
      <c r="AA32" s="265">
        <v>0.13458629680602269</v>
      </c>
    </row>
    <row r="33" spans="1:27" ht="14" customHeight="1">
      <c r="A33" s="264" t="s">
        <v>688</v>
      </c>
      <c r="B33" s="81">
        <v>82</v>
      </c>
      <c r="C33" s="265">
        <v>0.2102567742</v>
      </c>
      <c r="D33" s="265">
        <v>0.1209857022804518</v>
      </c>
      <c r="E33" s="265">
        <v>0.20001472749670871</v>
      </c>
      <c r="F33" s="265">
        <v>0.20965992035465519</v>
      </c>
      <c r="G33" s="266">
        <v>1.048510130529553</v>
      </c>
      <c r="H33" s="266">
        <v>1.2685057959999999</v>
      </c>
      <c r="I33" s="265">
        <v>8.5162301391999984E-2</v>
      </c>
      <c r="J33" s="265">
        <v>0.44335314300000001</v>
      </c>
      <c r="K33" s="265">
        <v>3.6700000000000003E-2</v>
      </c>
      <c r="L33" s="265">
        <v>0.24062580151519</v>
      </c>
      <c r="M33" s="265">
        <v>7.1293279547377408E-2</v>
      </c>
      <c r="N33" s="266">
        <v>1.6940501698643551</v>
      </c>
      <c r="O33" s="266">
        <v>3.0813954191663671</v>
      </c>
      <c r="P33" s="266">
        <v>13.92966979599424</v>
      </c>
      <c r="Q33" s="266">
        <v>24.913082735918561</v>
      </c>
      <c r="R33" s="266">
        <v>4.2895877572089711</v>
      </c>
      <c r="S33" s="266">
        <v>735.04878440000005</v>
      </c>
      <c r="T33" s="265">
        <v>9.9521221166625276E-2</v>
      </c>
      <c r="U33" s="265">
        <v>8.3941999794304251E-2</v>
      </c>
      <c r="V33" s="265">
        <v>5.6954587867787718E-2</v>
      </c>
      <c r="W33" s="265">
        <v>0.53799441483955557</v>
      </c>
      <c r="X33" s="265">
        <v>0.1068219368487173</v>
      </c>
      <c r="Y33" s="265">
        <v>0.53461117421342397</v>
      </c>
      <c r="Z33" s="265">
        <v>0.53461117421342397</v>
      </c>
      <c r="AA33" s="265">
        <v>0.1231668091260702</v>
      </c>
    </row>
    <row r="34" spans="1:27" ht="14" customHeight="1">
      <c r="A34" s="264" t="s">
        <v>689</v>
      </c>
      <c r="B34" s="81">
        <v>31</v>
      </c>
      <c r="C34" s="265">
        <v>2.4687500000000002E-4</v>
      </c>
      <c r="D34" s="265">
        <v>4.0177230964001748E-2</v>
      </c>
      <c r="E34" s="265">
        <v>6.2730271006684699E-2</v>
      </c>
      <c r="F34" s="265">
        <v>0.21175836963132491</v>
      </c>
      <c r="G34" s="266">
        <v>0.62745114806840763</v>
      </c>
      <c r="H34" s="266">
        <v>0.89362508299999999</v>
      </c>
      <c r="I34" s="265">
        <v>6.5668504315999993E-2</v>
      </c>
      <c r="J34" s="265">
        <v>0.46876047700000001</v>
      </c>
      <c r="K34" s="265">
        <v>3.6700000000000003E-2</v>
      </c>
      <c r="L34" s="265">
        <v>0.38419618211811818</v>
      </c>
      <c r="M34" s="265">
        <v>5.101391558518683E-2</v>
      </c>
      <c r="N34" s="266">
        <v>1.586850973959729</v>
      </c>
      <c r="O34" s="266">
        <v>1.0776847266333609</v>
      </c>
      <c r="P34" s="266">
        <v>13.91566773051002</v>
      </c>
      <c r="Q34" s="266">
        <v>23.761199476447882</v>
      </c>
      <c r="R34" s="266">
        <v>2.5461588360650551</v>
      </c>
      <c r="S34" s="266">
        <v>73.189374799999996</v>
      </c>
      <c r="T34" s="265">
        <v>0.11506109817037</v>
      </c>
      <c r="U34" s="265">
        <v>3.5502183550620778E-2</v>
      </c>
      <c r="V34" s="265">
        <v>2.8937445065539621E-2</v>
      </c>
      <c r="W34" s="265">
        <v>1.3305711242328331</v>
      </c>
      <c r="X34" s="265">
        <v>9.1414494736948168E-2</v>
      </c>
      <c r="Y34" s="265">
        <v>0.56244432294060165</v>
      </c>
      <c r="Z34" s="265">
        <v>0.56244432294060165</v>
      </c>
      <c r="AA34" s="265">
        <v>4.1975817308357109E-2</v>
      </c>
    </row>
    <row r="35" spans="1:27" ht="14" customHeight="1">
      <c r="A35" s="264" t="s">
        <v>690</v>
      </c>
      <c r="B35" s="81">
        <v>232</v>
      </c>
      <c r="C35" s="265">
        <v>0.1086845139</v>
      </c>
      <c r="D35" s="265">
        <v>7.5097373587425839E-2</v>
      </c>
      <c r="E35" s="265">
        <v>2.345884993164995E-3</v>
      </c>
      <c r="F35" s="265">
        <v>0.19830498513712719</v>
      </c>
      <c r="G35" s="266">
        <v>9.826313785398752E-2</v>
      </c>
      <c r="H35" s="266">
        <v>0.732438335</v>
      </c>
      <c r="I35" s="265">
        <v>5.7286793420000003E-2</v>
      </c>
      <c r="J35" s="265">
        <v>0.25703304100000002</v>
      </c>
      <c r="K35" s="265">
        <v>3.27E-2</v>
      </c>
      <c r="L35" s="265">
        <v>0.8981891558985402</v>
      </c>
      <c r="M35" s="265">
        <v>2.786050584236785E-2</v>
      </c>
      <c r="N35" s="266">
        <v>3.70254505549912E-2</v>
      </c>
      <c r="O35" s="266">
        <v>30.154730094897118</v>
      </c>
      <c r="P35" s="266" t="s">
        <v>188</v>
      </c>
      <c r="Q35" s="266" t="s">
        <v>188</v>
      </c>
      <c r="R35" s="266">
        <v>2.223936198519509</v>
      </c>
      <c r="S35" s="266">
        <v>83.004518840000003</v>
      </c>
      <c r="T35" s="265" t="s">
        <v>188</v>
      </c>
      <c r="U35" s="265">
        <v>8.2434172867516906E-2</v>
      </c>
      <c r="V35" s="265">
        <v>8.3674260493084254E-2</v>
      </c>
      <c r="W35" s="265">
        <v>2.029235324034623</v>
      </c>
      <c r="X35" s="265">
        <v>7.4864249999999995E-4</v>
      </c>
      <c r="Y35" s="265">
        <v>0.15959286495180311</v>
      </c>
      <c r="Z35" s="265">
        <v>0.15959286495180311</v>
      </c>
      <c r="AA35" s="265">
        <v>7.3965407313428613E-2</v>
      </c>
    </row>
    <row r="36" spans="1:27" ht="14" customHeight="1">
      <c r="A36" s="264" t="s">
        <v>691</v>
      </c>
      <c r="B36" s="81">
        <v>88</v>
      </c>
      <c r="C36" s="265">
        <v>4.2364390240000001E-2</v>
      </c>
      <c r="D36" s="265">
        <v>0.1200443139071575</v>
      </c>
      <c r="E36" s="265">
        <v>0.15554861201386971</v>
      </c>
      <c r="F36" s="265">
        <v>0.14815869059912901</v>
      </c>
      <c r="G36" s="266">
        <v>0.69680824795297369</v>
      </c>
      <c r="H36" s="266">
        <v>0.87532183900000005</v>
      </c>
      <c r="I36" s="265">
        <v>6.4716735627999997E-2</v>
      </c>
      <c r="J36" s="265">
        <v>0.31529091999999997</v>
      </c>
      <c r="K36" s="265">
        <v>3.27E-2</v>
      </c>
      <c r="L36" s="265">
        <v>0.27207784056704543</v>
      </c>
      <c r="M36" s="265">
        <v>5.3781454989692168E-2</v>
      </c>
      <c r="N36" s="266">
        <v>1.364966608047038</v>
      </c>
      <c r="O36" s="266">
        <v>2.298652756916332</v>
      </c>
      <c r="P36" s="266">
        <v>14.26411636439547</v>
      </c>
      <c r="Q36" s="266">
        <v>18.84104721822408</v>
      </c>
      <c r="R36" s="266">
        <v>2.581149862121134</v>
      </c>
      <c r="S36" s="266">
        <v>42.254382540000002</v>
      </c>
      <c r="T36" s="265">
        <v>6.5259351639732316E-2</v>
      </c>
      <c r="U36" s="265">
        <v>3.6066177007257699E-2</v>
      </c>
      <c r="V36" s="265">
        <v>2.7729446920432881E-2</v>
      </c>
      <c r="W36" s="265">
        <v>0.27868647415448611</v>
      </c>
      <c r="X36" s="265">
        <v>1.903131144932094E-2</v>
      </c>
      <c r="Y36" s="265">
        <v>3.0382197839036591</v>
      </c>
      <c r="Z36" s="265">
        <v>3.0382197839036591</v>
      </c>
      <c r="AA36" s="265">
        <v>0.12180748502457769</v>
      </c>
    </row>
    <row r="37" spans="1:27" ht="14" customHeight="1">
      <c r="A37" s="264" t="s">
        <v>692</v>
      </c>
      <c r="B37" s="81">
        <v>17</v>
      </c>
      <c r="C37" s="265">
        <v>0.2285625</v>
      </c>
      <c r="D37" s="265">
        <v>2.7151757154997042E-2</v>
      </c>
      <c r="E37" s="265">
        <v>0.16824607330218941</v>
      </c>
      <c r="F37" s="265">
        <v>0.19166311149527029</v>
      </c>
      <c r="G37" s="266">
        <v>0.65776617329136733</v>
      </c>
      <c r="H37" s="266">
        <v>0.86802289899999996</v>
      </c>
      <c r="I37" s="265">
        <v>6.4337190747999998E-2</v>
      </c>
      <c r="J37" s="265">
        <v>0.31580572000000001</v>
      </c>
      <c r="K37" s="265">
        <v>3.27E-2</v>
      </c>
      <c r="L37" s="265">
        <v>0.30533221975167901</v>
      </c>
      <c r="M37" s="265">
        <v>5.2181246173735901E-2</v>
      </c>
      <c r="N37" s="266">
        <v>6.7800696012153594</v>
      </c>
      <c r="O37" s="266">
        <v>0.59928418920388837</v>
      </c>
      <c r="P37" s="266">
        <v>13.949675688869339</v>
      </c>
      <c r="Q37" s="266">
        <v>22.222359855134162</v>
      </c>
      <c r="R37" s="266">
        <v>5.9279606921405312</v>
      </c>
      <c r="S37" s="266">
        <v>47.982627399999998</v>
      </c>
      <c r="T37" s="265">
        <v>7.2428459211955412E-2</v>
      </c>
      <c r="U37" s="265">
        <v>1.180322055990941E-2</v>
      </c>
      <c r="V37" s="265">
        <v>2.433781532524168E-2</v>
      </c>
      <c r="W37" s="265">
        <v>1.1387689133832051</v>
      </c>
      <c r="X37" s="265">
        <v>0.15512943196531639</v>
      </c>
      <c r="Y37" s="265">
        <v>0.50639378139235891</v>
      </c>
      <c r="Z37" s="265">
        <v>0.50639378139235891</v>
      </c>
      <c r="AA37" s="265">
        <v>2.691039614039567E-2</v>
      </c>
    </row>
    <row r="38" spans="1:27" ht="14" customHeight="1">
      <c r="A38" s="264" t="s">
        <v>693</v>
      </c>
      <c r="B38" s="81">
        <v>35</v>
      </c>
      <c r="C38" s="265">
        <v>9.7125789470000001E-2</v>
      </c>
      <c r="D38" s="265">
        <v>7.0873502885851133E-2</v>
      </c>
      <c r="E38" s="265">
        <v>0.1335712963512358</v>
      </c>
      <c r="F38" s="265">
        <v>0.22029965573894611</v>
      </c>
      <c r="G38" s="266">
        <v>0.81832731033239059</v>
      </c>
      <c r="H38" s="266">
        <v>1.076595269</v>
      </c>
      <c r="I38" s="265">
        <v>7.5182953987999998E-2</v>
      </c>
      <c r="J38" s="265">
        <v>0.43384310799999998</v>
      </c>
      <c r="K38" s="265">
        <v>3.6700000000000003E-2</v>
      </c>
      <c r="L38" s="265">
        <v>0.32592530570754091</v>
      </c>
      <c r="M38" s="265">
        <v>5.9650020765065183E-2</v>
      </c>
      <c r="N38" s="266">
        <v>1.9615420468038041</v>
      </c>
      <c r="O38" s="266">
        <v>1.108697919856269</v>
      </c>
      <c r="P38" s="266">
        <v>9.2693843310705315</v>
      </c>
      <c r="Q38" s="266">
        <v>14.8027969904669</v>
      </c>
      <c r="R38" s="266">
        <v>2.2052316905231351</v>
      </c>
      <c r="S38" s="266">
        <v>14.7932714</v>
      </c>
      <c r="T38" s="265">
        <v>0.13274710857810401</v>
      </c>
      <c r="U38" s="265">
        <v>3.2630782341064597E-2</v>
      </c>
      <c r="V38" s="265">
        <v>4.8546626398905661E-2</v>
      </c>
      <c r="W38" s="265">
        <v>0.86541561063575501</v>
      </c>
      <c r="X38" s="265">
        <v>0.16974611949398841</v>
      </c>
      <c r="Y38" s="265">
        <v>0.24219630345218771</v>
      </c>
      <c r="Z38" s="265">
        <v>0.24219630345218771</v>
      </c>
      <c r="AA38" s="265">
        <v>7.413115309847168E-2</v>
      </c>
    </row>
    <row r="39" spans="1:27" ht="14" customHeight="1">
      <c r="A39" s="264" t="s">
        <v>694</v>
      </c>
      <c r="B39" s="81">
        <v>22</v>
      </c>
      <c r="C39" s="265">
        <v>0.194825</v>
      </c>
      <c r="D39" s="265">
        <v>0.11819058757392401</v>
      </c>
      <c r="E39" s="265">
        <v>1.3934693236192321E-2</v>
      </c>
      <c r="F39" s="265">
        <v>0.32661085743277518</v>
      </c>
      <c r="G39" s="266">
        <v>0.59377295201994196</v>
      </c>
      <c r="H39" s="266">
        <v>1.0723318509999999</v>
      </c>
      <c r="I39" s="265">
        <v>7.4961256251999994E-2</v>
      </c>
      <c r="J39" s="265">
        <v>0.53761194999999995</v>
      </c>
      <c r="K39" s="265">
        <v>3.6700000000000003E-2</v>
      </c>
      <c r="L39" s="265">
        <v>0.52971104111709588</v>
      </c>
      <c r="M39" s="265">
        <v>4.9833747566055728E-2</v>
      </c>
      <c r="N39" s="266">
        <v>0.16453086906868891</v>
      </c>
      <c r="O39" s="266">
        <v>9.9381593844254574</v>
      </c>
      <c r="P39" s="266">
        <v>17.15186005168885</v>
      </c>
      <c r="Q39" s="266">
        <v>123.2343211881922</v>
      </c>
      <c r="R39" s="266">
        <v>1.6825439325313789</v>
      </c>
      <c r="S39" s="266">
        <v>26.234681689999999</v>
      </c>
      <c r="T39" s="265">
        <v>3.0934979594630239E-2</v>
      </c>
      <c r="U39" s="265">
        <v>0.38258615516862138</v>
      </c>
      <c r="V39" s="265">
        <v>0.41149871963353402</v>
      </c>
      <c r="W39" s="265">
        <v>8.1349519767556959</v>
      </c>
      <c r="X39" s="265">
        <v>-5.800124556197328E-2</v>
      </c>
      <c r="Y39" s="265">
        <v>1.1632870899999999E-3</v>
      </c>
      <c r="Z39" s="265">
        <v>1.1632870900000201E-3</v>
      </c>
      <c r="AA39" s="265">
        <v>8.5912682536696733E-2</v>
      </c>
    </row>
    <row r="40" spans="1:27" ht="14" customHeight="1">
      <c r="A40" s="264" t="s">
        <v>695</v>
      </c>
      <c r="B40" s="81">
        <v>242</v>
      </c>
      <c r="C40" s="265">
        <v>0.1340120155</v>
      </c>
      <c r="D40" s="265">
        <v>0.15001045838433449</v>
      </c>
      <c r="E40" s="265">
        <v>0.15868660143509131</v>
      </c>
      <c r="F40" s="265">
        <v>0.12496352847400589</v>
      </c>
      <c r="G40" s="266">
        <v>0.98181868386863347</v>
      </c>
      <c r="H40" s="266">
        <v>1.0429687110000001</v>
      </c>
      <c r="I40" s="265">
        <v>7.3434372972000006E-2</v>
      </c>
      <c r="J40" s="265">
        <v>0.53085684200000005</v>
      </c>
      <c r="K40" s="265">
        <v>3.6700000000000003E-2</v>
      </c>
      <c r="L40" s="265">
        <v>0.11697038611330331</v>
      </c>
      <c r="M40" s="265">
        <v>6.8064335889245528E-2</v>
      </c>
      <c r="N40" s="266">
        <v>1.0264217479098241</v>
      </c>
      <c r="O40" s="266">
        <v>5.942336567546656</v>
      </c>
      <c r="P40" s="266">
        <v>22.669654496072869</v>
      </c>
      <c r="Q40" s="266">
        <v>37.55351626774253</v>
      </c>
      <c r="R40" s="266">
        <v>5.1279911277707342</v>
      </c>
      <c r="S40" s="266">
        <v>84.426186759999993</v>
      </c>
      <c r="T40" s="265">
        <v>0.24303971757809351</v>
      </c>
      <c r="U40" s="265">
        <v>5.123709451888709E-2</v>
      </c>
      <c r="V40" s="265">
        <v>6.2150771202064303E-2</v>
      </c>
      <c r="W40" s="265">
        <v>0.70865179585654625</v>
      </c>
      <c r="X40" s="265">
        <v>9.7760350780430466E-2</v>
      </c>
      <c r="Y40" s="265">
        <v>0.30272133887505442</v>
      </c>
      <c r="Z40" s="265">
        <v>0.30272133887505442</v>
      </c>
      <c r="AA40" s="265">
        <v>0.159910681804527</v>
      </c>
    </row>
    <row r="41" spans="1:27" ht="14" customHeight="1">
      <c r="A41" s="264" t="s">
        <v>696</v>
      </c>
      <c r="B41" s="81">
        <v>128</v>
      </c>
      <c r="C41" s="265">
        <v>0.18439849999999999</v>
      </c>
      <c r="D41" s="265">
        <v>4.3691496620801733E-2</v>
      </c>
      <c r="E41" s="265">
        <v>0.37910420233851522</v>
      </c>
      <c r="F41" s="265">
        <v>0.23595209607333081</v>
      </c>
      <c r="G41" s="266">
        <v>0.94623821494528337</v>
      </c>
      <c r="H41" s="266">
        <v>1.170318746</v>
      </c>
      <c r="I41" s="265">
        <v>8.0056574791999999E-2</v>
      </c>
      <c r="J41" s="265">
        <v>0.49954532800000001</v>
      </c>
      <c r="K41" s="265">
        <v>3.6700000000000003E-2</v>
      </c>
      <c r="L41" s="265">
        <v>0.28523577433826008</v>
      </c>
      <c r="M41" s="265">
        <v>6.5072690378995657E-2</v>
      </c>
      <c r="N41" s="266">
        <v>9.6944488266559734</v>
      </c>
      <c r="O41" s="266">
        <v>0.69010124998180267</v>
      </c>
      <c r="P41" s="266">
        <v>11.73771422623984</v>
      </c>
      <c r="Q41" s="266">
        <v>16.046214219531631</v>
      </c>
      <c r="R41" s="266">
        <v>2.861541874866389</v>
      </c>
      <c r="S41" s="266">
        <v>51.640525799999999</v>
      </c>
      <c r="T41" s="265">
        <v>-5.1786593569507371E-2</v>
      </c>
      <c r="U41" s="265">
        <v>7.5761386928213589E-3</v>
      </c>
      <c r="V41" s="265">
        <v>5.1488640852270409E-2</v>
      </c>
      <c r="W41" s="265">
        <v>1.678660367932286</v>
      </c>
      <c r="X41" s="265">
        <v>0.13156789164169161</v>
      </c>
      <c r="Y41" s="265">
        <v>0.38373267364622882</v>
      </c>
      <c r="Z41" s="265">
        <v>0.38373267364622882</v>
      </c>
      <c r="AA41" s="265">
        <v>4.2626473194070702E-2</v>
      </c>
    </row>
    <row r="42" spans="1:27" ht="14" customHeight="1">
      <c r="A42" s="264" t="s">
        <v>697</v>
      </c>
      <c r="B42" s="81">
        <v>129</v>
      </c>
      <c r="C42" s="265">
        <v>0.1817046296</v>
      </c>
      <c r="D42" s="265">
        <v>0.12578013953083211</v>
      </c>
      <c r="E42" s="265">
        <v>0.1439641863344189</v>
      </c>
      <c r="F42" s="265">
        <v>0.13298058658392331</v>
      </c>
      <c r="G42" s="266">
        <v>1.152697351786613</v>
      </c>
      <c r="H42" s="266">
        <v>1.2449195799999999</v>
      </c>
      <c r="I42" s="265">
        <v>8.3935818159999981E-2</v>
      </c>
      <c r="J42" s="265">
        <v>0.53864013700000002</v>
      </c>
      <c r="K42" s="265">
        <v>3.6700000000000003E-2</v>
      </c>
      <c r="L42" s="265">
        <v>0.12790809380910639</v>
      </c>
      <c r="M42" s="265">
        <v>7.6720417938942256E-2</v>
      </c>
      <c r="N42" s="266">
        <v>1.1438019674160269</v>
      </c>
      <c r="O42" s="266">
        <v>5.413405022152209</v>
      </c>
      <c r="P42" s="266">
        <v>23.491669028543861</v>
      </c>
      <c r="Q42" s="266">
        <v>40.456474723161151</v>
      </c>
      <c r="R42" s="266">
        <v>5.2832391270046957</v>
      </c>
      <c r="S42" s="266">
        <v>99.810727720000003</v>
      </c>
      <c r="T42" s="265">
        <v>0.22143774980472089</v>
      </c>
      <c r="U42" s="265">
        <v>3.9920463554901017E-2</v>
      </c>
      <c r="V42" s="265">
        <v>4.5319833807594301E-2</v>
      </c>
      <c r="W42" s="265">
        <v>0.59105619992863134</v>
      </c>
      <c r="X42" s="265">
        <v>0.1117173404818915</v>
      </c>
      <c r="Y42" s="265">
        <v>8.5384678786086146E-2</v>
      </c>
      <c r="Z42" s="265">
        <v>8.5384678786086132E-2</v>
      </c>
      <c r="AA42" s="265">
        <v>0.13071456918445559</v>
      </c>
    </row>
    <row r="43" spans="1:27" ht="14" customHeight="1">
      <c r="A43" s="264" t="s">
        <v>698</v>
      </c>
      <c r="B43" s="81">
        <v>32</v>
      </c>
      <c r="C43" s="265">
        <v>0.33644208330000003</v>
      </c>
      <c r="D43" s="265">
        <v>0.10151698776146401</v>
      </c>
      <c r="E43" s="265">
        <v>0.1125235372097005</v>
      </c>
      <c r="F43" s="265">
        <v>0.23559830336661411</v>
      </c>
      <c r="G43" s="266">
        <v>0.66405583898276987</v>
      </c>
      <c r="H43" s="266">
        <v>0.82768248799999999</v>
      </c>
      <c r="I43" s="265">
        <v>6.223948937599999E-2</v>
      </c>
      <c r="J43" s="265">
        <v>0.36550677300000001</v>
      </c>
      <c r="K43" s="265">
        <v>3.27E-2</v>
      </c>
      <c r="L43" s="265">
        <v>0.30653230084424382</v>
      </c>
      <c r="M43" s="265">
        <v>5.067878017240892E-2</v>
      </c>
      <c r="N43" s="266">
        <v>1.33139792613434</v>
      </c>
      <c r="O43" s="266">
        <v>1.2109532236068721</v>
      </c>
      <c r="P43" s="266">
        <v>10.945436440125331</v>
      </c>
      <c r="Q43" s="266">
        <v>11.88666896445757</v>
      </c>
      <c r="R43" s="266">
        <v>1.6277557320484659</v>
      </c>
      <c r="S43" s="266">
        <v>16.26090276</v>
      </c>
      <c r="T43" s="265">
        <v>0.7308043000334522</v>
      </c>
      <c r="U43" s="265">
        <v>8.195267297855701E-3</v>
      </c>
      <c r="V43" s="265">
        <v>1.2893091212953589E-2</v>
      </c>
      <c r="W43" s="265">
        <v>0.56097620420588512</v>
      </c>
      <c r="X43" s="265">
        <v>0.1525652506481214</v>
      </c>
      <c r="Y43" s="265">
        <v>7.2611955603386194E-2</v>
      </c>
      <c r="Z43" s="265">
        <v>7.261195560338618E-2</v>
      </c>
      <c r="AA43" s="265">
        <v>0.10184625962192589</v>
      </c>
    </row>
    <row r="44" spans="1:27" ht="14" customHeight="1">
      <c r="A44" s="264" t="s">
        <v>699</v>
      </c>
      <c r="B44" s="81">
        <v>36</v>
      </c>
      <c r="C44" s="265">
        <v>5.2017727270000001E-2</v>
      </c>
      <c r="D44" s="265">
        <v>0.1075954629038785</v>
      </c>
      <c r="E44" s="265">
        <v>0.15312474607463711</v>
      </c>
      <c r="F44" s="265">
        <v>0.21482140966831931</v>
      </c>
      <c r="G44" s="266">
        <v>0.62556238975986156</v>
      </c>
      <c r="H44" s="266">
        <v>1.2217365659999999</v>
      </c>
      <c r="I44" s="265">
        <v>8.2730301431999984E-2</v>
      </c>
      <c r="J44" s="265">
        <v>0.426320967</v>
      </c>
      <c r="K44" s="265">
        <v>3.6700000000000003E-2</v>
      </c>
      <c r="L44" s="265">
        <v>0.56555907028865815</v>
      </c>
      <c r="M44" s="265">
        <v>5.1508442479112952E-2</v>
      </c>
      <c r="N44" s="266">
        <v>1.591310759497351</v>
      </c>
      <c r="O44" s="266">
        <v>1.6273202722335749</v>
      </c>
      <c r="P44" s="266">
        <v>9.3735779754532871</v>
      </c>
      <c r="Q44" s="266">
        <v>15.599324144541621</v>
      </c>
      <c r="R44" s="266">
        <v>6.3156550716093864</v>
      </c>
      <c r="S44" s="266">
        <v>38.937641720000002</v>
      </c>
      <c r="T44" s="265">
        <v>0.12274546166515581</v>
      </c>
      <c r="U44" s="265">
        <v>6.3644637083803066E-2</v>
      </c>
      <c r="V44" s="265">
        <v>3.5350795993136397E-2</v>
      </c>
      <c r="W44" s="265">
        <v>0.55293864301929907</v>
      </c>
      <c r="X44" s="265">
        <v>0.62126792034960743</v>
      </c>
      <c r="Y44" s="265">
        <v>0.2361699324021091</v>
      </c>
      <c r="Z44" s="265">
        <v>0.23616993240210921</v>
      </c>
      <c r="AA44" s="265">
        <v>0.1040246097765468</v>
      </c>
    </row>
    <row r="45" spans="1:27" ht="14" customHeight="1">
      <c r="A45" s="264" t="s">
        <v>700</v>
      </c>
      <c r="B45" s="81">
        <v>65</v>
      </c>
      <c r="C45" s="265">
        <v>8.3505833330000001E-2</v>
      </c>
      <c r="D45" s="265">
        <v>0.19220154117336019</v>
      </c>
      <c r="E45" s="265">
        <v>0.11639471697186569</v>
      </c>
      <c r="F45" s="265">
        <v>0.17418415792562489</v>
      </c>
      <c r="G45" s="266">
        <v>0.91444462364251522</v>
      </c>
      <c r="H45" s="266">
        <v>1.2616103949999999</v>
      </c>
      <c r="I45" s="265">
        <v>8.4803740539999992E-2</v>
      </c>
      <c r="J45" s="265">
        <v>0.34103357200000001</v>
      </c>
      <c r="K45" s="265">
        <v>3.27E-2</v>
      </c>
      <c r="L45" s="265">
        <v>0.3606549844459781</v>
      </c>
      <c r="M45" s="265">
        <v>6.3063912308123138E-2</v>
      </c>
      <c r="N45" s="266">
        <v>0.71576503094149491</v>
      </c>
      <c r="O45" s="266">
        <v>3.7845532404462698</v>
      </c>
      <c r="P45" s="266">
        <v>12.73681729164405</v>
      </c>
      <c r="Q45" s="266">
        <v>20.314011943981431</v>
      </c>
      <c r="R45" s="266">
        <v>3.852763633697383</v>
      </c>
      <c r="S45" s="266">
        <v>134.20446910000001</v>
      </c>
      <c r="T45" s="265">
        <v>7.8506086297190705E-2</v>
      </c>
      <c r="U45" s="265">
        <v>9.573192042452483E-2</v>
      </c>
      <c r="V45" s="265">
        <v>4.9388092032504431E-2</v>
      </c>
      <c r="W45" s="265">
        <v>0.39808496936567739</v>
      </c>
      <c r="X45" s="265">
        <v>0.16228307265904779</v>
      </c>
      <c r="Y45" s="265">
        <v>0.54304699912118415</v>
      </c>
      <c r="Z45" s="265">
        <v>0.54304699912118415</v>
      </c>
      <c r="AA45" s="265">
        <v>0.18588255247727381</v>
      </c>
    </row>
    <row r="46" spans="1:27" ht="14" customHeight="1">
      <c r="A46" s="264" t="s">
        <v>701</v>
      </c>
      <c r="B46" s="81">
        <v>127</v>
      </c>
      <c r="C46" s="265">
        <v>0.17416960000000001</v>
      </c>
      <c r="D46" s="265">
        <v>0.17430411560653161</v>
      </c>
      <c r="E46" s="265">
        <v>0.28181193709251778</v>
      </c>
      <c r="F46" s="265">
        <v>0.26920402215990102</v>
      </c>
      <c r="G46" s="266">
        <v>0.93705724489488984</v>
      </c>
      <c r="H46" s="266">
        <v>1.0300080739999999</v>
      </c>
      <c r="I46" s="265">
        <v>7.2760419847999996E-2</v>
      </c>
      <c r="J46" s="265">
        <v>0.509069047</v>
      </c>
      <c r="K46" s="265">
        <v>3.6700000000000003E-2</v>
      </c>
      <c r="L46" s="265">
        <v>0.1465588652085015</v>
      </c>
      <c r="M46" s="265">
        <v>6.6130768047846997E-2</v>
      </c>
      <c r="N46" s="266">
        <v>1.7127013022354709</v>
      </c>
      <c r="O46" s="266">
        <v>3.7365604572841389</v>
      </c>
      <c r="P46" s="266">
        <v>16.57244278503747</v>
      </c>
      <c r="Q46" s="266">
        <v>21.31756166451871</v>
      </c>
      <c r="R46" s="266">
        <v>8.1998776677841185</v>
      </c>
      <c r="S46" s="266">
        <v>33.227693819999999</v>
      </c>
      <c r="T46" s="265">
        <v>8.7820203254300858E-2</v>
      </c>
      <c r="U46" s="265">
        <v>4.109947305412022E-2</v>
      </c>
      <c r="V46" s="265">
        <v>5.1712448788085452E-2</v>
      </c>
      <c r="W46" s="265">
        <v>0.33265404406284488</v>
      </c>
      <c r="X46" s="265">
        <v>0.10594857822391079</v>
      </c>
      <c r="Y46" s="265">
        <v>1.525801181814991</v>
      </c>
      <c r="Z46" s="265">
        <v>1.525801181814991</v>
      </c>
      <c r="AA46" s="265">
        <v>0.17492222925329581</v>
      </c>
    </row>
    <row r="47" spans="1:27" ht="14" customHeight="1">
      <c r="A47" s="264" t="s">
        <v>702</v>
      </c>
      <c r="B47" s="81">
        <v>69</v>
      </c>
      <c r="C47" s="265">
        <v>0.1312132432</v>
      </c>
      <c r="D47" s="265">
        <v>0.2828270164293798</v>
      </c>
      <c r="E47" s="265">
        <v>0.41524251748897489</v>
      </c>
      <c r="F47" s="265">
        <v>0.18860677589538999</v>
      </c>
      <c r="G47" s="266">
        <v>1.031515897076219</v>
      </c>
      <c r="H47" s="266">
        <v>1.093128707</v>
      </c>
      <c r="I47" s="265">
        <v>7.6042692763999997E-2</v>
      </c>
      <c r="J47" s="265">
        <v>0.37797649100000003</v>
      </c>
      <c r="K47" s="265">
        <v>3.27E-2</v>
      </c>
      <c r="L47" s="265">
        <v>0.1062381209625549</v>
      </c>
      <c r="M47" s="265">
        <v>7.0569549888426425E-2</v>
      </c>
      <c r="N47" s="266">
        <v>1.5859274072032421</v>
      </c>
      <c r="O47" s="266">
        <v>9.1745908906339011</v>
      </c>
      <c r="P47" s="266">
        <v>26.35196884696089</v>
      </c>
      <c r="Q47" s="266">
        <v>32.250266889759132</v>
      </c>
      <c r="R47" s="266">
        <v>6.5807969408446194</v>
      </c>
      <c r="S47" s="266">
        <v>46.22702228</v>
      </c>
      <c r="T47" s="265">
        <v>7.1818144960797109E-2</v>
      </c>
      <c r="U47" s="265">
        <v>3.194053779730438E-2</v>
      </c>
      <c r="V47" s="265">
        <v>0.17097483708044889</v>
      </c>
      <c r="W47" s="265">
        <v>0.80524226868974424</v>
      </c>
      <c r="X47" s="265">
        <v>0.30523221264800621</v>
      </c>
      <c r="Y47" s="265">
        <v>0.2491261356325592</v>
      </c>
      <c r="Z47" s="265">
        <v>0.24912613563255931</v>
      </c>
      <c r="AA47" s="265">
        <v>0.28551627216842013</v>
      </c>
    </row>
    <row r="48" spans="1:27" ht="14" customHeight="1">
      <c r="A48" s="264" t="s">
        <v>703</v>
      </c>
      <c r="B48" s="81">
        <v>19</v>
      </c>
      <c r="C48" s="265">
        <v>7.7987333330000005E-2</v>
      </c>
      <c r="D48" s="265">
        <v>0.1218445979248575</v>
      </c>
      <c r="E48" s="265">
        <v>9.6116543510597674E-2</v>
      </c>
      <c r="F48" s="265">
        <v>0.21421520201272909</v>
      </c>
      <c r="G48" s="266">
        <v>0.59269928391842142</v>
      </c>
      <c r="H48" s="266">
        <v>0.74262552999999998</v>
      </c>
      <c r="I48" s="265">
        <v>5.7816527559999997E-2</v>
      </c>
      <c r="J48" s="265">
        <v>0.31001992499999997</v>
      </c>
      <c r="K48" s="265">
        <v>3.27E-2</v>
      </c>
      <c r="L48" s="265">
        <v>0.29285597584143319</v>
      </c>
      <c r="M48" s="265">
        <v>4.8066904769164233E-2</v>
      </c>
      <c r="N48" s="266">
        <v>0.93229957228173144</v>
      </c>
      <c r="O48" s="266">
        <v>1.9531174019662889</v>
      </c>
      <c r="P48" s="266">
        <v>10.26574583037824</v>
      </c>
      <c r="Q48" s="266">
        <v>15.893054840677189</v>
      </c>
      <c r="R48" s="266">
        <v>1.479339913649715</v>
      </c>
      <c r="S48" s="266">
        <v>67.571802180000006</v>
      </c>
      <c r="T48" s="265">
        <v>-9.6673207215900697E-2</v>
      </c>
      <c r="U48" s="265">
        <v>7.5340141994202307E-3</v>
      </c>
      <c r="V48" s="265">
        <v>3.829014255765234E-2</v>
      </c>
      <c r="W48" s="265">
        <v>0.49361489957045829</v>
      </c>
      <c r="X48" s="265">
        <v>7.4184623716426576E-2</v>
      </c>
      <c r="Y48" s="265">
        <v>0.42046879455107822</v>
      </c>
      <c r="Z48" s="265">
        <v>0.42046879455107822</v>
      </c>
      <c r="AA48" s="265">
        <v>0.122875632992149</v>
      </c>
    </row>
    <row r="49" spans="1:27" ht="14" customHeight="1">
      <c r="A49" s="264" t="s">
        <v>704</v>
      </c>
      <c r="B49" s="81">
        <v>24</v>
      </c>
      <c r="C49" s="265">
        <v>1.4992500000000001E-2</v>
      </c>
      <c r="D49" s="265">
        <v>0.13288366881121241</v>
      </c>
      <c r="E49" s="265">
        <v>8.1995359323434103E-2</v>
      </c>
      <c r="F49" s="265">
        <v>0.19822321078110691</v>
      </c>
      <c r="G49" s="266">
        <v>0.73248057437703429</v>
      </c>
      <c r="H49" s="266">
        <v>1.0761501120000001</v>
      </c>
      <c r="I49" s="265">
        <v>7.5159805824000003E-2</v>
      </c>
      <c r="J49" s="265">
        <v>0.25128205300000001</v>
      </c>
      <c r="K49" s="265">
        <v>3.27E-2</v>
      </c>
      <c r="L49" s="265">
        <v>0.49366976566408199</v>
      </c>
      <c r="M49" s="265">
        <v>5.0162933098419633E-2</v>
      </c>
      <c r="N49" s="266">
        <v>0.72403809267233399</v>
      </c>
      <c r="O49" s="266">
        <v>1.360660528851942</v>
      </c>
      <c r="P49" s="266">
        <v>9.5328892538065659</v>
      </c>
      <c r="Q49" s="266">
        <v>10.23264818592869</v>
      </c>
      <c r="R49" s="266">
        <v>0.7118424879597719</v>
      </c>
      <c r="S49" s="266">
        <v>21.05216021</v>
      </c>
      <c r="T49" s="265">
        <v>7.0310572574755634E-2</v>
      </c>
      <c r="U49" s="265">
        <v>1.6041142887078729E-3</v>
      </c>
      <c r="V49" s="265">
        <v>2.301590640702822E-3</v>
      </c>
      <c r="W49" s="265">
        <v>9.7422554546471252E-2</v>
      </c>
      <c r="X49" s="265">
        <v>0.1043883749904904</v>
      </c>
      <c r="Y49" s="265">
        <v>0.26068085208062031</v>
      </c>
      <c r="Z49" s="265">
        <v>0.26068085208062031</v>
      </c>
      <c r="AA49" s="265">
        <v>0.13288356412127891</v>
      </c>
    </row>
    <row r="50" spans="1:27" ht="14" customHeight="1">
      <c r="A50" s="264" t="s">
        <v>705</v>
      </c>
      <c r="B50" s="81">
        <v>51</v>
      </c>
      <c r="C50" s="265">
        <v>7.0501860470000011E-2</v>
      </c>
      <c r="D50" s="265">
        <v>0.1067346348206225</v>
      </c>
      <c r="E50" s="265">
        <v>0.1047767771628574</v>
      </c>
      <c r="F50" s="265">
        <v>0.1978084704076693</v>
      </c>
      <c r="G50" s="266">
        <v>0.58907152474849622</v>
      </c>
      <c r="H50" s="266">
        <v>0.67828556100000004</v>
      </c>
      <c r="I50" s="265">
        <v>5.4470849171999999E-2</v>
      </c>
      <c r="J50" s="265">
        <v>0.217098126</v>
      </c>
      <c r="K50" s="265">
        <v>2.7199999999999998E-2</v>
      </c>
      <c r="L50" s="265">
        <v>0.20860498140688019</v>
      </c>
      <c r="M50" s="265">
        <v>4.7363500313958307E-2</v>
      </c>
      <c r="N50" s="266">
        <v>1.135592629086859</v>
      </c>
      <c r="O50" s="266">
        <v>1.485060872126345</v>
      </c>
      <c r="P50" s="266">
        <v>11.39595787157165</v>
      </c>
      <c r="Q50" s="266">
        <v>13.8028943752995</v>
      </c>
      <c r="R50" s="266">
        <v>1.532868342367159</v>
      </c>
      <c r="S50" s="266">
        <v>29.596842519999999</v>
      </c>
      <c r="T50" s="265">
        <v>-0.51854417571014921</v>
      </c>
      <c r="U50" s="265">
        <v>1.197631775119779E-2</v>
      </c>
      <c r="V50" s="265">
        <v>6.2634341133766137E-3</v>
      </c>
      <c r="W50" s="265">
        <v>0.13603238769038201</v>
      </c>
      <c r="X50" s="265">
        <v>0.10583960453220009</v>
      </c>
      <c r="Y50" s="265">
        <v>0.35817331503815891</v>
      </c>
      <c r="Z50" s="265">
        <v>0.35817331503815902</v>
      </c>
      <c r="AA50" s="265">
        <v>0.1073278233177624</v>
      </c>
    </row>
    <row r="51" spans="1:27" ht="14" customHeight="1">
      <c r="A51" s="264" t="s">
        <v>706</v>
      </c>
      <c r="B51" s="81">
        <v>192</v>
      </c>
      <c r="C51" s="265">
        <v>8.9536666700000007E-3</v>
      </c>
      <c r="D51" s="265">
        <v>0.17457953142195479</v>
      </c>
      <c r="E51" s="265">
        <v>7.3141252941942805E-2</v>
      </c>
      <c r="F51" s="265">
        <v>0.17261710325543739</v>
      </c>
      <c r="G51" s="266">
        <v>0.86018284014412283</v>
      </c>
      <c r="H51" s="266">
        <v>1.027293808</v>
      </c>
      <c r="I51" s="265">
        <v>7.2619278016000002E-2</v>
      </c>
      <c r="J51" s="265">
        <v>0.27875895899999997</v>
      </c>
      <c r="K51" s="265">
        <v>3.27E-2</v>
      </c>
      <c r="L51" s="265">
        <v>0.35235338529932692</v>
      </c>
      <c r="M51" s="265">
        <v>5.5673096343535407E-2</v>
      </c>
      <c r="N51" s="266">
        <v>0.46021460907450817</v>
      </c>
      <c r="O51" s="266">
        <v>4.5817430632886058</v>
      </c>
      <c r="P51" s="266">
        <v>21.975408868218789</v>
      </c>
      <c r="Q51" s="266">
        <v>25.786322273380829</v>
      </c>
      <c r="R51" s="266">
        <v>1.675882119358177</v>
      </c>
      <c r="S51" s="266">
        <v>79.936599580000006</v>
      </c>
      <c r="T51" s="265" t="s">
        <v>188</v>
      </c>
      <c r="U51" s="265">
        <v>3.473861237259223E-2</v>
      </c>
      <c r="V51" s="265">
        <v>8.2805374420662756E-2</v>
      </c>
      <c r="W51" s="265">
        <v>0.60778907344429678</v>
      </c>
      <c r="X51" s="265">
        <v>0.1331377251132734</v>
      </c>
      <c r="Y51" s="265">
        <v>0.49328344198734808</v>
      </c>
      <c r="Z51" s="265">
        <v>0.49328344198734819</v>
      </c>
      <c r="AA51" s="265">
        <v>0.17173593796093939</v>
      </c>
    </row>
    <row r="52" spans="1:27" ht="14" customHeight="1">
      <c r="A52" s="264" t="s">
        <v>707</v>
      </c>
      <c r="B52" s="81">
        <v>120</v>
      </c>
      <c r="C52" s="265">
        <v>3.5001298700000003E-2</v>
      </c>
      <c r="D52" s="265">
        <v>0.13839680166911009</v>
      </c>
      <c r="E52" s="265">
        <v>0.24494098740934431</v>
      </c>
      <c r="F52" s="265">
        <v>0.2233086569001573</v>
      </c>
      <c r="G52" s="266">
        <v>1.0985210616277279</v>
      </c>
      <c r="H52" s="266">
        <v>1.247017093</v>
      </c>
      <c r="I52" s="265">
        <v>8.404488883599999E-2</v>
      </c>
      <c r="J52" s="265">
        <v>0.35391696499999997</v>
      </c>
      <c r="K52" s="265">
        <v>3.27E-2</v>
      </c>
      <c r="L52" s="265">
        <v>0.19263261139184601</v>
      </c>
      <c r="M52" s="265">
        <v>7.2579417219768932E-2</v>
      </c>
      <c r="N52" s="266">
        <v>1.9810084390939651</v>
      </c>
      <c r="O52" s="266">
        <v>2.5816308002306552</v>
      </c>
      <c r="P52" s="266">
        <v>13.877955687799711</v>
      </c>
      <c r="Q52" s="266">
        <v>18.34779416438365</v>
      </c>
      <c r="R52" s="266">
        <v>4.0895993569312754</v>
      </c>
      <c r="S52" s="266">
        <v>36.098322779999997</v>
      </c>
      <c r="T52" s="265">
        <v>0.23396156987519459</v>
      </c>
      <c r="U52" s="265">
        <v>2.9005513878121621E-2</v>
      </c>
      <c r="V52" s="265">
        <v>8.7753011579536661E-2</v>
      </c>
      <c r="W52" s="265">
        <v>0.89460968116543893</v>
      </c>
      <c r="X52" s="265">
        <v>0.20029882474439939</v>
      </c>
      <c r="Y52" s="265">
        <v>0.28001782383061491</v>
      </c>
      <c r="Z52" s="265">
        <v>0.2800178238306148</v>
      </c>
      <c r="AA52" s="265">
        <v>0.140962953052301</v>
      </c>
    </row>
    <row r="53" spans="1:27" ht="14" customHeight="1">
      <c r="A53" s="264" t="s">
        <v>708</v>
      </c>
      <c r="B53" s="81">
        <v>92</v>
      </c>
      <c r="C53" s="265">
        <v>0.148425</v>
      </c>
      <c r="D53" s="265">
        <v>0.1127643481809345</v>
      </c>
      <c r="E53" s="265">
        <v>0.112565434691211</v>
      </c>
      <c r="F53" s="265">
        <v>0.53292133921633822</v>
      </c>
      <c r="G53" s="266">
        <v>1.0865722025981519</v>
      </c>
      <c r="H53" s="266">
        <v>1.310283238</v>
      </c>
      <c r="I53" s="265">
        <v>8.7334728375999995E-2</v>
      </c>
      <c r="J53" s="265">
        <v>0.732549534</v>
      </c>
      <c r="K53" s="265">
        <v>4.4200000000000003E-2</v>
      </c>
      <c r="L53" s="265">
        <v>0.27646152867389667</v>
      </c>
      <c r="M53" s="265">
        <v>7.2354735538391168E-2</v>
      </c>
      <c r="N53" s="266">
        <v>1.010916632998045</v>
      </c>
      <c r="O53" s="266">
        <v>2.0389969122891638</v>
      </c>
      <c r="P53" s="266">
        <v>9.5841543430996516</v>
      </c>
      <c r="Q53" s="266">
        <v>17.434811294215049</v>
      </c>
      <c r="R53" s="266">
        <v>1.859355353400999</v>
      </c>
      <c r="S53" s="266">
        <v>727.09627339999997</v>
      </c>
      <c r="T53" s="265">
        <v>0.16218694563044911</v>
      </c>
      <c r="U53" s="265">
        <v>0.1065489054823439</v>
      </c>
      <c r="V53" s="265">
        <v>2.8130492514532601E-2</v>
      </c>
      <c r="W53" s="265">
        <v>0.38411208903254279</v>
      </c>
      <c r="X53" s="265">
        <v>3.2701050504416539E-2</v>
      </c>
      <c r="Y53" s="265">
        <v>2.029798413743424</v>
      </c>
      <c r="Z53" s="265">
        <v>2.029798413743424</v>
      </c>
      <c r="AA53" s="265">
        <v>0.1135764121112165</v>
      </c>
    </row>
    <row r="54" spans="1:27" ht="14" customHeight="1">
      <c r="A54" s="264" t="s">
        <v>709</v>
      </c>
      <c r="B54" s="81">
        <v>22</v>
      </c>
      <c r="C54" s="265">
        <v>3.7385714289999997E-2</v>
      </c>
      <c r="D54" s="265">
        <v>8.8492408081315102E-2</v>
      </c>
      <c r="E54" s="265">
        <v>0.17477407471504219</v>
      </c>
      <c r="F54" s="265">
        <v>0.22939678243415851</v>
      </c>
      <c r="G54" s="266">
        <v>1.2442326298508291</v>
      </c>
      <c r="H54" s="266">
        <v>1.6452790129999999</v>
      </c>
      <c r="I54" s="265">
        <v>0.104754508676</v>
      </c>
      <c r="J54" s="265">
        <v>0.31279621499999999</v>
      </c>
      <c r="K54" s="265">
        <v>3.27E-2</v>
      </c>
      <c r="L54" s="265">
        <v>0.35434326269795702</v>
      </c>
      <c r="M54" s="265">
        <v>7.63257228070921E-2</v>
      </c>
      <c r="N54" s="266">
        <v>2.2487956763119308</v>
      </c>
      <c r="O54" s="266">
        <v>1.203624985318108</v>
      </c>
      <c r="P54" s="266">
        <v>8.7680550909557073</v>
      </c>
      <c r="Q54" s="266">
        <v>13.286035861692801</v>
      </c>
      <c r="R54" s="266">
        <v>2.962264177996996</v>
      </c>
      <c r="S54" s="266">
        <v>34.534642509999998</v>
      </c>
      <c r="T54" s="265">
        <v>9.5487212950181949E-2</v>
      </c>
      <c r="U54" s="265">
        <v>3.2697703601455637E-2</v>
      </c>
      <c r="V54" s="265">
        <v>1.191932739365039E-2</v>
      </c>
      <c r="W54" s="265">
        <v>0.21576991687748739</v>
      </c>
      <c r="X54" s="265">
        <v>0.18221074572422899</v>
      </c>
      <c r="Y54" s="265">
        <v>0.38572506850868121</v>
      </c>
      <c r="Z54" s="265">
        <v>0.38572506850868132</v>
      </c>
      <c r="AA54" s="265">
        <v>9.1567355803739495E-2</v>
      </c>
    </row>
    <row r="55" spans="1:27" ht="14" customHeight="1">
      <c r="A55" s="264" t="s">
        <v>710</v>
      </c>
      <c r="B55" s="81">
        <v>4</v>
      </c>
      <c r="C55" s="265">
        <v>-6.4774999999999999E-2</v>
      </c>
      <c r="D55" s="265">
        <v>7.3263932817433888E-2</v>
      </c>
      <c r="E55" s="265">
        <v>5.3589602566097717E-2</v>
      </c>
      <c r="F55" s="265">
        <v>0.30251114761793008</v>
      </c>
      <c r="G55" s="266">
        <v>1.1174661727895661</v>
      </c>
      <c r="H55" s="266">
        <v>1.3006455690000001</v>
      </c>
      <c r="I55" s="265">
        <v>8.6833569587999995E-2</v>
      </c>
      <c r="J55" s="265">
        <v>0.28622403400000002</v>
      </c>
      <c r="K55" s="265">
        <v>3.27E-2</v>
      </c>
      <c r="L55" s="265">
        <v>0.21147577019878849</v>
      </c>
      <c r="M55" s="265">
        <v>7.3656816844392889E-2</v>
      </c>
      <c r="N55" s="266">
        <v>0.95993899429249396</v>
      </c>
      <c r="O55" s="266">
        <v>1.6066340408662021</v>
      </c>
      <c r="P55" s="266">
        <v>9.172700433113917</v>
      </c>
      <c r="Q55" s="266">
        <v>21.74284343864046</v>
      </c>
      <c r="R55" s="266">
        <v>1.4051456468410981</v>
      </c>
      <c r="S55" s="266">
        <v>22.67209961</v>
      </c>
      <c r="T55" s="265">
        <v>4.3242800954184743E-2</v>
      </c>
      <c r="U55" s="265">
        <v>0.1047713695761727</v>
      </c>
      <c r="V55" s="265">
        <v>7.1227969451630138E-2</v>
      </c>
      <c r="W55" s="265">
        <v>1.370893490874223</v>
      </c>
      <c r="X55" s="265">
        <v>7.8483398733212917E-2</v>
      </c>
      <c r="Y55" s="265">
        <v>0.89073564088583901</v>
      </c>
      <c r="Z55" s="265">
        <v>0.89073564088583901</v>
      </c>
      <c r="AA55" s="265">
        <v>7.3961083478018816E-2</v>
      </c>
    </row>
    <row r="56" spans="1:27" ht="14" customHeight="1">
      <c r="A56" s="264" t="s">
        <v>711</v>
      </c>
      <c r="B56" s="81">
        <v>269</v>
      </c>
      <c r="C56" s="265">
        <v>-3.7269344259999997E-2</v>
      </c>
      <c r="D56" s="265">
        <v>0.19870188081212359</v>
      </c>
      <c r="E56" s="265">
        <v>9.03142441594144E-2</v>
      </c>
      <c r="F56" s="265">
        <v>0.19366830381565711</v>
      </c>
      <c r="G56" s="266">
        <v>1.0767106396403761</v>
      </c>
      <c r="H56" s="266">
        <v>1.478219605</v>
      </c>
      <c r="I56" s="265">
        <v>9.6067419459999998E-2</v>
      </c>
      <c r="J56" s="265">
        <v>0.59365118699999997</v>
      </c>
      <c r="K56" s="265">
        <v>3.6700000000000003E-2</v>
      </c>
      <c r="L56" s="265">
        <v>0.3605677847336668</v>
      </c>
      <c r="M56" s="265">
        <v>7.1353231115022023E-2</v>
      </c>
      <c r="N56" s="266">
        <v>0.4639438212066786</v>
      </c>
      <c r="O56" s="266">
        <v>2.7115380336077499</v>
      </c>
      <c r="P56" s="266">
        <v>4.8946646248016359</v>
      </c>
      <c r="Q56" s="266">
        <v>13.285415282519599</v>
      </c>
      <c r="R56" s="266">
        <v>1.189884851784341</v>
      </c>
      <c r="S56" s="266">
        <v>8.6600199100000008</v>
      </c>
      <c r="T56" s="265">
        <v>1.9785935554210411E-2</v>
      </c>
      <c r="U56" s="265">
        <v>0.45558724957631708</v>
      </c>
      <c r="V56" s="265">
        <v>0.14258632808904351</v>
      </c>
      <c r="W56" s="265">
        <v>0.7917085008304896</v>
      </c>
      <c r="X56" s="265">
        <v>6.3623026774982286E-2</v>
      </c>
      <c r="Y56" s="265">
        <v>0.27359960606806971</v>
      </c>
      <c r="Z56" s="265">
        <v>0.27359960606806971</v>
      </c>
      <c r="AA56" s="265">
        <v>0.20215616901160949</v>
      </c>
    </row>
    <row r="57" spans="1:27" ht="14" customHeight="1">
      <c r="A57" s="264" t="s">
        <v>712</v>
      </c>
      <c r="B57" s="81">
        <v>24</v>
      </c>
      <c r="C57" s="265">
        <v>0.14938124999999999</v>
      </c>
      <c r="D57" s="265">
        <v>0.20903704289538391</v>
      </c>
      <c r="E57" s="265">
        <v>7.9893794013800409E-2</v>
      </c>
      <c r="F57" s="265">
        <v>0.2234178923222237</v>
      </c>
      <c r="G57" s="266">
        <v>0.6175192303191579</v>
      </c>
      <c r="H57" s="266">
        <v>1.016075276</v>
      </c>
      <c r="I57" s="265">
        <v>7.2035914351999991E-2</v>
      </c>
      <c r="J57" s="265">
        <v>0.32657694300000001</v>
      </c>
      <c r="K57" s="265">
        <v>3.27E-2</v>
      </c>
      <c r="L57" s="265">
        <v>0.47282550027992132</v>
      </c>
      <c r="M57" s="265">
        <v>4.9571542504759099E-2</v>
      </c>
      <c r="N57" s="266">
        <v>0.40425084243640708</v>
      </c>
      <c r="O57" s="266">
        <v>4.4360026615426458</v>
      </c>
      <c r="P57" s="266">
        <v>12.86940578664902</v>
      </c>
      <c r="Q57" s="266">
        <v>20.675912322856629</v>
      </c>
      <c r="R57" s="266">
        <v>1.581291103328011</v>
      </c>
      <c r="S57" s="266">
        <v>69.406974539999993</v>
      </c>
      <c r="T57" s="265">
        <v>3.7455781511397931E-2</v>
      </c>
      <c r="U57" s="265">
        <v>0.30016161325961499</v>
      </c>
      <c r="V57" s="265">
        <v>0.20671722360266989</v>
      </c>
      <c r="W57" s="265">
        <v>1.2559575677291119</v>
      </c>
      <c r="X57" s="265">
        <v>3.9099355606413269E-2</v>
      </c>
      <c r="Y57" s="265">
        <v>3.0321428301587421</v>
      </c>
      <c r="Z57" s="265">
        <v>3.0321428301587421</v>
      </c>
      <c r="AA57" s="265">
        <v>0.2090422476719572</v>
      </c>
    </row>
    <row r="58" spans="1:27" ht="14" customHeight="1">
      <c r="A58" s="264" t="s">
        <v>713</v>
      </c>
      <c r="B58" s="81">
        <v>136</v>
      </c>
      <c r="C58" s="265">
        <v>1.488617647E-2</v>
      </c>
      <c r="D58" s="265">
        <v>4.1611820490851881E-2</v>
      </c>
      <c r="E58" s="265">
        <v>0.1159202010940011</v>
      </c>
      <c r="F58" s="265">
        <v>0.20955223924223981</v>
      </c>
      <c r="G58" s="266">
        <v>1.2186547171181339</v>
      </c>
      <c r="H58" s="266">
        <v>1.57914625</v>
      </c>
      <c r="I58" s="265">
        <v>0.101315605</v>
      </c>
      <c r="J58" s="265">
        <v>0.53496989100000003</v>
      </c>
      <c r="K58" s="265">
        <v>3.6700000000000003E-2</v>
      </c>
      <c r="L58" s="265">
        <v>0.32728837071266009</v>
      </c>
      <c r="M58" s="265">
        <v>7.7164798115648511E-2</v>
      </c>
      <c r="N58" s="266">
        <v>2.790966771048768</v>
      </c>
      <c r="O58" s="266">
        <v>0.73597155724688645</v>
      </c>
      <c r="P58" s="266">
        <v>8.5829147808730095</v>
      </c>
      <c r="Q58" s="266">
        <v>16.776791422903731</v>
      </c>
      <c r="R58" s="266">
        <v>1.466159434733133</v>
      </c>
      <c r="S58" s="266">
        <v>25.438445959999999</v>
      </c>
      <c r="T58" s="265">
        <v>7.9797642042377895E-2</v>
      </c>
      <c r="U58" s="265">
        <v>4.0035196812272827E-2</v>
      </c>
      <c r="V58" s="265">
        <v>1.578349675123281E-2</v>
      </c>
      <c r="W58" s="265">
        <v>0.43601510859485632</v>
      </c>
      <c r="X58" s="265">
        <v>-8.3970667588351908E-2</v>
      </c>
      <c r="Y58" s="265">
        <v>3.15527955E-3</v>
      </c>
      <c r="Z58" s="265">
        <v>3.1552795499999449E-3</v>
      </c>
      <c r="AA58" s="265">
        <v>4.3734938415947618E-2</v>
      </c>
    </row>
    <row r="59" spans="1:27" ht="14" customHeight="1">
      <c r="A59" s="264" t="s">
        <v>714</v>
      </c>
      <c r="B59" s="81">
        <v>24</v>
      </c>
      <c r="C59" s="265">
        <v>5.5162105259999997E-2</v>
      </c>
      <c r="D59" s="265">
        <v>0.10137592771411939</v>
      </c>
      <c r="E59" s="265">
        <v>0.1683409525775269</v>
      </c>
      <c r="F59" s="265">
        <v>0.21709585535545381</v>
      </c>
      <c r="G59" s="266">
        <v>0.67817351673939641</v>
      </c>
      <c r="H59" s="266">
        <v>0.99035691400000003</v>
      </c>
      <c r="I59" s="265">
        <v>7.0698559527999999E-2</v>
      </c>
      <c r="J59" s="265">
        <v>0.331374104</v>
      </c>
      <c r="K59" s="265">
        <v>3.27E-2</v>
      </c>
      <c r="L59" s="265">
        <v>0.39736591586090941</v>
      </c>
      <c r="M59" s="265">
        <v>5.2350760757598057E-2</v>
      </c>
      <c r="N59" s="266">
        <v>1.8518718237499849</v>
      </c>
      <c r="O59" s="266">
        <v>1.5935927869773729</v>
      </c>
      <c r="P59" s="266">
        <v>9.508993154383969</v>
      </c>
      <c r="Q59" s="266">
        <v>15.321461301383099</v>
      </c>
      <c r="R59" s="266">
        <v>3.0974794478800809</v>
      </c>
      <c r="S59" s="266">
        <v>20.60885717</v>
      </c>
      <c r="T59" s="265">
        <v>0.1027096179715271</v>
      </c>
      <c r="U59" s="265">
        <v>5.3023330398330022E-2</v>
      </c>
      <c r="V59" s="265">
        <v>0.1197680134037853</v>
      </c>
      <c r="W59" s="265">
        <v>1.4806864026858979</v>
      </c>
      <c r="X59" s="265">
        <v>0.15955254796758589</v>
      </c>
      <c r="Y59" s="265">
        <v>0.44972735986269069</v>
      </c>
      <c r="Z59" s="265">
        <v>0.44972735986269069</v>
      </c>
      <c r="AA59" s="265">
        <v>0.1034970508770028</v>
      </c>
    </row>
    <row r="60" spans="1:27" ht="14" customHeight="1">
      <c r="A60" s="264" t="s">
        <v>715</v>
      </c>
      <c r="B60" s="81">
        <v>15</v>
      </c>
      <c r="C60" s="265">
        <v>0.18884818179999999</v>
      </c>
      <c r="D60" s="265">
        <v>5.4035235163300367E-2</v>
      </c>
      <c r="E60" s="265">
        <v>9.3685346152158122E-2</v>
      </c>
      <c r="F60" s="265">
        <v>0.19618638018416731</v>
      </c>
      <c r="G60" s="266">
        <v>1.2543747470505291</v>
      </c>
      <c r="H60" s="266">
        <v>1.5366649800000001</v>
      </c>
      <c r="I60" s="265">
        <v>9.9106578959999997E-2</v>
      </c>
      <c r="J60" s="265">
        <v>0.373667154</v>
      </c>
      <c r="K60" s="265">
        <v>3.27E-2</v>
      </c>
      <c r="L60" s="265">
        <v>0.28287635012891799</v>
      </c>
      <c r="M60" s="265">
        <v>7.800921411694349E-2</v>
      </c>
      <c r="N60" s="266">
        <v>1.9086850556808059</v>
      </c>
      <c r="O60" s="266">
        <v>0.77047376749501884</v>
      </c>
      <c r="P60" s="266">
        <v>7.534351489580418</v>
      </c>
      <c r="Q60" s="266">
        <v>14.02899107203157</v>
      </c>
      <c r="R60" s="266">
        <v>1.5863924015758879</v>
      </c>
      <c r="S60" s="266">
        <v>24.91748737</v>
      </c>
      <c r="T60" s="265">
        <v>0.1402418674616249</v>
      </c>
      <c r="U60" s="265">
        <v>4.6965313958764077E-2</v>
      </c>
      <c r="V60" s="265">
        <v>1.766645452893751E-2</v>
      </c>
      <c r="W60" s="265">
        <v>0.39260598022411841</v>
      </c>
      <c r="X60" s="265">
        <v>2.045071042527696E-2</v>
      </c>
      <c r="Y60" s="265">
        <v>1.794319880418535</v>
      </c>
      <c r="Z60" s="265">
        <v>1.794319880418535</v>
      </c>
      <c r="AA60" s="265">
        <v>5.4789249742947937E-2</v>
      </c>
    </row>
    <row r="61" spans="1:27" ht="14" customHeight="1">
      <c r="A61" s="264" t="s">
        <v>716</v>
      </c>
      <c r="B61" s="81">
        <v>52</v>
      </c>
      <c r="C61" s="265">
        <v>3.4954468090000003E-2</v>
      </c>
      <c r="D61" s="265">
        <v>0.18321598727450711</v>
      </c>
      <c r="E61" s="265">
        <v>6.475986797197382E-2</v>
      </c>
      <c r="F61" s="265">
        <v>0.17046992035484629</v>
      </c>
      <c r="G61" s="266">
        <v>0.37843539998307552</v>
      </c>
      <c r="H61" s="266">
        <v>0.57582877700000001</v>
      </c>
      <c r="I61" s="265">
        <v>4.9143096403999997E-2</v>
      </c>
      <c r="J61" s="265">
        <v>0.18487223699999999</v>
      </c>
      <c r="K61" s="265">
        <v>2.7199999999999998E-2</v>
      </c>
      <c r="L61" s="265">
        <v>0.42033403831590488</v>
      </c>
      <c r="M61" s="265">
        <v>3.7061394618803312E-2</v>
      </c>
      <c r="N61" s="266">
        <v>0.41247133623789861</v>
      </c>
      <c r="O61" s="266">
        <v>4.1142560306250866</v>
      </c>
      <c r="P61" s="266">
        <v>12.030275988961661</v>
      </c>
      <c r="Q61" s="266">
        <v>22.725876745406008</v>
      </c>
      <c r="R61" s="266">
        <v>2.0110098593079369</v>
      </c>
      <c r="S61" s="266">
        <v>23.736914609999999</v>
      </c>
      <c r="T61" s="265">
        <v>5.4338330303454037E-2</v>
      </c>
      <c r="U61" s="265">
        <v>0.34133879527338828</v>
      </c>
      <c r="V61" s="265">
        <v>0.21311659278422601</v>
      </c>
      <c r="W61" s="265">
        <v>1.3995031229174979</v>
      </c>
      <c r="X61" s="265">
        <v>5.7139424893253001E-2</v>
      </c>
      <c r="Y61" s="265">
        <v>0.97587295067089164</v>
      </c>
      <c r="Z61" s="265">
        <v>0.97587295067089164</v>
      </c>
      <c r="AA61" s="265">
        <v>0.18102210711788561</v>
      </c>
    </row>
    <row r="62" spans="1:27" ht="14" customHeight="1">
      <c r="A62" s="264" t="s">
        <v>717</v>
      </c>
      <c r="B62" s="81">
        <v>83</v>
      </c>
      <c r="C62" s="265">
        <v>0.14079900000000001</v>
      </c>
      <c r="D62" s="265">
        <v>0.14509627018831781</v>
      </c>
      <c r="E62" s="265">
        <v>8.0664460917954317E-2</v>
      </c>
      <c r="F62" s="265">
        <v>0.27178234816124869</v>
      </c>
      <c r="G62" s="266">
        <v>1.332047966861964</v>
      </c>
      <c r="H62" s="266">
        <v>1.4350731219999999</v>
      </c>
      <c r="I62" s="265">
        <v>9.3823802343999993E-2</v>
      </c>
      <c r="J62" s="265">
        <v>0.82642641900000002</v>
      </c>
      <c r="K62" s="265">
        <v>6.9199999999999998E-2</v>
      </c>
      <c r="L62" s="265">
        <v>0.15519528905286839</v>
      </c>
      <c r="M62" s="265">
        <v>8.7317425721027603E-2</v>
      </c>
      <c r="N62" s="266">
        <v>0.56822025606116333</v>
      </c>
      <c r="O62" s="266">
        <v>5.0547114805542126</v>
      </c>
      <c r="P62" s="266">
        <v>13.65057684669139</v>
      </c>
      <c r="Q62" s="266">
        <v>34.171544765682697</v>
      </c>
      <c r="R62" s="266">
        <v>1.7442576293034029</v>
      </c>
      <c r="S62" s="266">
        <v>76.844674990000001</v>
      </c>
      <c r="T62" s="265">
        <v>0.13966764986487301</v>
      </c>
      <c r="U62" s="265">
        <v>0.1514839910119391</v>
      </c>
      <c r="V62" s="265">
        <v>-5.9104712113229603E-2</v>
      </c>
      <c r="W62" s="265">
        <v>-0.17945715230240661</v>
      </c>
      <c r="X62" s="265">
        <v>0.1290024868631009</v>
      </c>
      <c r="Y62" s="265">
        <v>0.20770337879514769</v>
      </c>
      <c r="Z62" s="265">
        <v>0.20770337879514769</v>
      </c>
      <c r="AA62" s="265">
        <v>0.14449504009038319</v>
      </c>
    </row>
    <row r="63" spans="1:27" ht="14" customHeight="1">
      <c r="A63" s="264" t="s">
        <v>718</v>
      </c>
      <c r="B63" s="81">
        <v>31</v>
      </c>
      <c r="C63" s="265">
        <v>1.29555556E-3</v>
      </c>
      <c r="D63" s="265">
        <v>5.4338625261254173E-2</v>
      </c>
      <c r="E63" s="265">
        <v>0.1047435402947904</v>
      </c>
      <c r="F63" s="265">
        <v>0.25947461195710719</v>
      </c>
      <c r="G63" s="266">
        <v>0.75678423138498629</v>
      </c>
      <c r="H63" s="266">
        <v>1.0675088150000001</v>
      </c>
      <c r="I63" s="265">
        <v>7.4710458379999997E-2</v>
      </c>
      <c r="J63" s="265">
        <v>0.38178201</v>
      </c>
      <c r="K63" s="265">
        <v>3.27E-2</v>
      </c>
      <c r="L63" s="265">
        <v>0.40322742500111991</v>
      </c>
      <c r="M63" s="265">
        <v>5.4474305224931727E-2</v>
      </c>
      <c r="N63" s="266">
        <v>2.139023075211572</v>
      </c>
      <c r="O63" s="266">
        <v>1.0708440675686111</v>
      </c>
      <c r="P63" s="266">
        <v>9.1787026265847462</v>
      </c>
      <c r="Q63" s="266">
        <v>19.766329521415631</v>
      </c>
      <c r="R63" s="266">
        <v>1.593737161069688</v>
      </c>
      <c r="S63" s="266">
        <v>28.049546289999999</v>
      </c>
      <c r="T63" s="265">
        <v>0.134765176407285</v>
      </c>
      <c r="U63" s="265">
        <v>3.2210776999170472E-2</v>
      </c>
      <c r="V63" s="265">
        <v>1.8968285798983059E-3</v>
      </c>
      <c r="W63" s="265">
        <v>-5.131981301917006E-2</v>
      </c>
      <c r="X63" s="265">
        <v>-3.7850457635172828E-2</v>
      </c>
      <c r="Y63" s="265">
        <v>8.0400988399999991E-3</v>
      </c>
      <c r="Z63" s="265">
        <v>8.0400988400000095E-3</v>
      </c>
      <c r="AA63" s="265">
        <v>5.3290707372910272E-2</v>
      </c>
    </row>
    <row r="64" spans="1:27" ht="14" customHeight="1">
      <c r="A64" s="264" t="s">
        <v>719</v>
      </c>
      <c r="B64" s="81">
        <v>234</v>
      </c>
      <c r="C64" s="265">
        <v>0.1067300549</v>
      </c>
      <c r="D64" s="265">
        <v>0.27150867267835238</v>
      </c>
      <c r="E64" s="265">
        <v>2.9249315554869829E-2</v>
      </c>
      <c r="F64" s="265">
        <v>2.1767457135013171E-2</v>
      </c>
      <c r="G64" s="266">
        <v>0.42562033756937268</v>
      </c>
      <c r="H64" s="266">
        <v>0.68383933200000002</v>
      </c>
      <c r="I64" s="265">
        <v>5.4759645263999998E-2</v>
      </c>
      <c r="J64" s="265">
        <v>0.19856503</v>
      </c>
      <c r="K64" s="265">
        <v>2.7199999999999998E-2</v>
      </c>
      <c r="L64" s="265">
        <v>0.4576296748291695</v>
      </c>
      <c r="M64" s="265">
        <v>3.9035651974590073E-2</v>
      </c>
      <c r="N64" s="266">
        <v>0.12706799643010341</v>
      </c>
      <c r="O64" s="266">
        <v>13.48493357299593</v>
      </c>
      <c r="P64" s="266">
        <v>22.644781657339148</v>
      </c>
      <c r="Q64" s="266">
        <v>51.005478777372531</v>
      </c>
      <c r="R64" s="266">
        <v>2.2606213141803622</v>
      </c>
      <c r="S64" s="266">
        <v>48.00087018</v>
      </c>
      <c r="T64" s="265">
        <v>0.89250474239065669</v>
      </c>
      <c r="U64" s="265">
        <v>3.6943228805118758E-2</v>
      </c>
      <c r="V64" s="265">
        <v>-9.7875297202855857E-2</v>
      </c>
      <c r="W64" s="265">
        <v>-0.43639369173069509</v>
      </c>
      <c r="X64" s="265">
        <v>5.487961603138039E-2</v>
      </c>
      <c r="Y64" s="265">
        <v>1.924354129846545</v>
      </c>
      <c r="Z64" s="265">
        <v>1.924354129846545</v>
      </c>
      <c r="AA64" s="265">
        <v>0.2346877082935106</v>
      </c>
    </row>
    <row r="65" spans="1:27" ht="14" customHeight="1">
      <c r="A65" s="264" t="s">
        <v>720</v>
      </c>
      <c r="B65" s="81">
        <v>20</v>
      </c>
      <c r="C65" s="265">
        <v>-2.5031999999999999E-2</v>
      </c>
      <c r="D65" s="265">
        <v>0.10275570407757199</v>
      </c>
      <c r="E65" s="265">
        <v>2.083207061482269E-2</v>
      </c>
      <c r="F65" s="265">
        <v>0.22528938032472751</v>
      </c>
      <c r="G65" s="266">
        <v>0.89107405238567561</v>
      </c>
      <c r="H65" s="266">
        <v>1.2361501370000001</v>
      </c>
      <c r="I65" s="265">
        <v>8.3479807123999994E-2</v>
      </c>
      <c r="J65" s="265">
        <v>0.47223567599999999</v>
      </c>
      <c r="K65" s="265">
        <v>3.6700000000000003E-2</v>
      </c>
      <c r="L65" s="265">
        <v>0.41184684346830452</v>
      </c>
      <c r="M65" s="265">
        <v>6.0434996433102788E-2</v>
      </c>
      <c r="N65" s="266">
        <v>0.2806887892019545</v>
      </c>
      <c r="O65" s="266">
        <v>5.3663795253831763</v>
      </c>
      <c r="P65" s="266">
        <v>26.105981738000789</v>
      </c>
      <c r="Q65" s="266">
        <v>68.335074725162102</v>
      </c>
      <c r="R65" s="266">
        <v>1.5804934348879041</v>
      </c>
      <c r="S65" s="266">
        <v>48.486713180000002</v>
      </c>
      <c r="T65" s="265">
        <v>4.3182666426087347E-2</v>
      </c>
      <c r="U65" s="265">
        <v>3.3486167102098729E-2</v>
      </c>
      <c r="V65" s="265">
        <v>-5.0122720160957417E-2</v>
      </c>
      <c r="W65" s="265">
        <v>-2.0989368533678898</v>
      </c>
      <c r="X65" s="265">
        <v>3.3674599509687993E-2</v>
      </c>
      <c r="Y65" s="265">
        <v>4.6824830538708519E-4</v>
      </c>
      <c r="Z65" s="265">
        <v>4.6824830538705342E-4</v>
      </c>
      <c r="AA65" s="265">
        <v>7.5876472777875278E-2</v>
      </c>
    </row>
    <row r="66" spans="1:27" ht="14" customHeight="1">
      <c r="A66" s="264" t="s">
        <v>721</v>
      </c>
      <c r="B66" s="81">
        <v>12</v>
      </c>
      <c r="C66" s="265">
        <v>2.4140000000000002E-2</v>
      </c>
      <c r="D66" s="265">
        <v>0.29910974833507598</v>
      </c>
      <c r="E66" s="265">
        <v>7.4120216512727072E-2</v>
      </c>
      <c r="F66" s="265">
        <v>0.16333180533272221</v>
      </c>
      <c r="G66" s="266">
        <v>1.5017204419375949</v>
      </c>
      <c r="H66" s="266">
        <v>1.6326053380000001</v>
      </c>
      <c r="I66" s="265">
        <v>0.104095477576</v>
      </c>
      <c r="J66" s="265">
        <v>0.21349831699999999</v>
      </c>
      <c r="K66" s="265">
        <v>2.7199999999999998E-2</v>
      </c>
      <c r="L66" s="265">
        <v>0.31238614415155208</v>
      </c>
      <c r="M66" s="265">
        <v>7.7950170053110668E-2</v>
      </c>
      <c r="N66" s="266">
        <v>0.26923946194622478</v>
      </c>
      <c r="O66" s="266">
        <v>6.5742927815383423</v>
      </c>
      <c r="P66" s="266">
        <v>7.6753015175882124</v>
      </c>
      <c r="Q66" s="266">
        <v>13.48316188640516</v>
      </c>
      <c r="R66" s="266">
        <v>0.88386936260738058</v>
      </c>
      <c r="S66" s="266">
        <v>110.21081169999999</v>
      </c>
      <c r="T66" s="265">
        <v>3.456717265310512</v>
      </c>
      <c r="U66" s="265">
        <v>3.1953140565959548E-2</v>
      </c>
      <c r="V66" s="265">
        <v>-5.903978361718297E-2</v>
      </c>
      <c r="W66" s="265">
        <v>1.335704375056892</v>
      </c>
      <c r="X66" s="265">
        <v>5.7098055848105553E-2</v>
      </c>
      <c r="Y66" s="265">
        <v>0.22051996285979569</v>
      </c>
      <c r="Z66" s="265">
        <v>0.22051996285979569</v>
      </c>
      <c r="AA66" s="265">
        <v>0.29458280151566713</v>
      </c>
    </row>
    <row r="67" spans="1:27" ht="14" customHeight="1">
      <c r="A67" s="264" t="s">
        <v>722</v>
      </c>
      <c r="B67" s="81">
        <v>57</v>
      </c>
      <c r="C67" s="265">
        <v>3.4814285709999997E-2</v>
      </c>
      <c r="D67" s="265">
        <v>5.747727315112594E-2</v>
      </c>
      <c r="E67" s="265">
        <v>0.1146942964603756</v>
      </c>
      <c r="F67" s="265">
        <v>0.22267816036377991</v>
      </c>
      <c r="G67" s="266">
        <v>0.67504760776561479</v>
      </c>
      <c r="H67" s="266">
        <v>0.93261337399999999</v>
      </c>
      <c r="I67" s="265">
        <v>6.769589544799999E-2</v>
      </c>
      <c r="J67" s="265">
        <v>0.39152207500000002</v>
      </c>
      <c r="K67" s="265">
        <v>3.27E-2</v>
      </c>
      <c r="L67" s="265">
        <v>0.37028678480269861</v>
      </c>
      <c r="M67" s="265">
        <v>5.1710283375506622E-2</v>
      </c>
      <c r="N67" s="266">
        <v>2.1055907749253828</v>
      </c>
      <c r="O67" s="266">
        <v>1.3894468679956029</v>
      </c>
      <c r="P67" s="266">
        <v>12.60388451427256</v>
      </c>
      <c r="Q67" s="266">
        <v>22.981752366805569</v>
      </c>
      <c r="R67" s="266">
        <v>2.57858277200766</v>
      </c>
      <c r="S67" s="266">
        <v>32.45852129</v>
      </c>
      <c r="T67" s="265">
        <v>0.1158220663982497</v>
      </c>
      <c r="U67" s="265">
        <v>1.2829842363725551E-2</v>
      </c>
      <c r="V67" s="265">
        <v>6.3790105774169849E-3</v>
      </c>
      <c r="W67" s="265">
        <v>0.55466620890558282</v>
      </c>
      <c r="X67" s="265">
        <v>0.1191678890139567</v>
      </c>
      <c r="Y67" s="265">
        <v>0.19232682447345151</v>
      </c>
      <c r="Z67" s="265">
        <v>0.19232682447345151</v>
      </c>
      <c r="AA67" s="265">
        <v>5.7678552033207653E-2</v>
      </c>
    </row>
    <row r="68" spans="1:27" ht="14" customHeight="1">
      <c r="A68" s="264" t="s">
        <v>723</v>
      </c>
      <c r="B68" s="81">
        <v>63</v>
      </c>
      <c r="C68" s="265">
        <v>5.4745161289999997E-2</v>
      </c>
      <c r="D68" s="265">
        <v>9.5766956808391035E-2</v>
      </c>
      <c r="E68" s="265">
        <v>0.14080528942583431</v>
      </c>
      <c r="F68" s="265">
        <v>0.2357766465430004</v>
      </c>
      <c r="G68" s="266">
        <v>0.75402861704359259</v>
      </c>
      <c r="H68" s="266">
        <v>0.90177487300000003</v>
      </c>
      <c r="I68" s="265">
        <v>6.6092293395999993E-2</v>
      </c>
      <c r="J68" s="265">
        <v>0.475304332</v>
      </c>
      <c r="K68" s="265">
        <v>3.6700000000000003E-2</v>
      </c>
      <c r="L68" s="265">
        <v>0.25195474716110072</v>
      </c>
      <c r="M68" s="265">
        <v>5.6375080739722833E-2</v>
      </c>
      <c r="N68" s="266">
        <v>1.629024270355679</v>
      </c>
      <c r="O68" s="266">
        <v>2.352410713544046</v>
      </c>
      <c r="P68" s="266">
        <v>13.31015172236704</v>
      </c>
      <c r="Q68" s="266">
        <v>23.238601870015501</v>
      </c>
      <c r="R68" s="266">
        <v>6.0367334595467934</v>
      </c>
      <c r="S68" s="266">
        <v>30.510470080000001</v>
      </c>
      <c r="T68" s="265">
        <v>0.1867224278728972</v>
      </c>
      <c r="U68" s="265">
        <v>5.0718173640098167E-2</v>
      </c>
      <c r="V68" s="265">
        <v>4.0061548031463327E-2</v>
      </c>
      <c r="W68" s="265">
        <v>0.73922551249805257</v>
      </c>
      <c r="X68" s="265">
        <v>4.2683431451047173E-2</v>
      </c>
      <c r="Y68" s="265">
        <v>2.649480257697324</v>
      </c>
      <c r="Z68" s="265">
        <v>2.649480257697324</v>
      </c>
      <c r="AA68" s="265">
        <v>9.4045065018968713E-2</v>
      </c>
    </row>
    <row r="69" spans="1:27" ht="14" customHeight="1">
      <c r="A69" s="264" t="s">
        <v>724</v>
      </c>
      <c r="B69" s="81">
        <v>2</v>
      </c>
      <c r="C69" s="265">
        <v>6.6349999999999992E-2</v>
      </c>
      <c r="D69" s="265">
        <v>6.609682681923669E-2</v>
      </c>
      <c r="E69" s="265">
        <v>5.8995489477871817E-2</v>
      </c>
      <c r="F69" s="265">
        <v>0.21025686291817461</v>
      </c>
      <c r="G69" s="266">
        <v>0.76985429252100079</v>
      </c>
      <c r="H69" s="266">
        <v>0.81904634200000004</v>
      </c>
      <c r="I69" s="265">
        <v>6.1790409783999987E-2</v>
      </c>
      <c r="J69" s="265">
        <v>0.14871563199999999</v>
      </c>
      <c r="K69" s="265">
        <v>2.7199999999999998E-2</v>
      </c>
      <c r="L69" s="265">
        <v>0.22487709590175969</v>
      </c>
      <c r="M69" s="265">
        <v>5.2482654633590288E-2</v>
      </c>
      <c r="N69" s="266">
        <v>1.0942237870545659</v>
      </c>
      <c r="O69" s="266">
        <v>1.123930968038418</v>
      </c>
      <c r="P69" s="266">
        <v>14.91480658007074</v>
      </c>
      <c r="Q69" s="266">
        <v>17.188588797649409</v>
      </c>
      <c r="R69" s="266">
        <v>1.0566302378586869</v>
      </c>
      <c r="S69" s="266">
        <v>57.39914263</v>
      </c>
      <c r="T69" s="265">
        <v>-4.0752740056524413E-2</v>
      </c>
      <c r="U69" s="265">
        <v>2.403437421015142E-3</v>
      </c>
      <c r="V69" s="265">
        <v>-6.5072034190390864E-4</v>
      </c>
      <c r="W69" s="265">
        <v>0.1227912526794533</v>
      </c>
      <c r="X69" s="265">
        <v>5.0022125954909631E-2</v>
      </c>
      <c r="Y69" s="265">
        <v>0.1826329880107089</v>
      </c>
      <c r="Z69" s="265">
        <v>0.1826329880107089</v>
      </c>
      <c r="AA69" s="265">
        <v>6.5388205004480587E-2</v>
      </c>
    </row>
    <row r="70" spans="1:27" ht="14" customHeight="1">
      <c r="A70" s="264" t="s">
        <v>725</v>
      </c>
      <c r="B70" s="81">
        <v>77</v>
      </c>
      <c r="C70" s="265">
        <v>7.9172599999999996E-2</v>
      </c>
      <c r="D70" s="265">
        <v>0.1569187442405256</v>
      </c>
      <c r="E70" s="265">
        <v>0.19077089336457889</v>
      </c>
      <c r="F70" s="265">
        <v>0.20490675379032899</v>
      </c>
      <c r="G70" s="266">
        <v>0.75189638132612358</v>
      </c>
      <c r="H70" s="266">
        <v>0.97298048000000004</v>
      </c>
      <c r="I70" s="265">
        <v>6.9794984960000001E-2</v>
      </c>
      <c r="J70" s="265">
        <v>0.38756696200000001</v>
      </c>
      <c r="K70" s="265">
        <v>3.27E-2</v>
      </c>
      <c r="L70" s="265">
        <v>0.29405897018688221</v>
      </c>
      <c r="M70" s="265">
        <v>5.6482939802286747E-2</v>
      </c>
      <c r="N70" s="266">
        <v>1.530029328196451</v>
      </c>
      <c r="O70" s="266">
        <v>4.2584702994112513</v>
      </c>
      <c r="P70" s="266">
        <v>16.879168682463231</v>
      </c>
      <c r="Q70" s="266">
        <v>31.83805380425499</v>
      </c>
      <c r="R70" s="266" t="s">
        <v>188</v>
      </c>
      <c r="S70" s="266">
        <v>38.000132999999998</v>
      </c>
      <c r="T70" s="265">
        <v>3.9339512290593884E-3</v>
      </c>
      <c r="U70" s="265">
        <v>6.3148596454922476E-2</v>
      </c>
      <c r="V70" s="265">
        <v>2.2158304385445041E-2</v>
      </c>
      <c r="W70" s="265">
        <v>0.2650301797617754</v>
      </c>
      <c r="X70" s="265" t="s">
        <v>188</v>
      </c>
      <c r="Y70" s="265">
        <v>0.53912551075488746</v>
      </c>
      <c r="Z70" s="265">
        <v>0.53912551075488746</v>
      </c>
      <c r="AA70" s="265">
        <v>0.13344885578837351</v>
      </c>
    </row>
    <row r="71" spans="1:27" ht="14" customHeight="1">
      <c r="A71" s="264" t="s">
        <v>726</v>
      </c>
      <c r="B71" s="81">
        <v>26</v>
      </c>
      <c r="C71" s="265">
        <v>4.6966666669999997E-2</v>
      </c>
      <c r="D71" s="265">
        <v>5.6303707754557973E-2</v>
      </c>
      <c r="E71" s="265">
        <v>9.4753515027273139E-2</v>
      </c>
      <c r="F71" s="265">
        <v>0.23494271919905149</v>
      </c>
      <c r="G71" s="266">
        <v>0.86851869321114017</v>
      </c>
      <c r="H71" s="266">
        <v>1.332582621</v>
      </c>
      <c r="I71" s="265">
        <v>8.8494296291999994E-2</v>
      </c>
      <c r="J71" s="265">
        <v>0.373701271</v>
      </c>
      <c r="K71" s="265">
        <v>3.27E-2</v>
      </c>
      <c r="L71" s="265">
        <v>0.42153567826618138</v>
      </c>
      <c r="M71" s="265">
        <v>6.1528955591341451E-2</v>
      </c>
      <c r="N71" s="266">
        <v>2.2598364984984829</v>
      </c>
      <c r="O71" s="266">
        <v>1.1893681541705801</v>
      </c>
      <c r="P71" s="266">
        <v>13.90485967314048</v>
      </c>
      <c r="Q71" s="266">
        <v>23.642634963117182</v>
      </c>
      <c r="R71" s="266">
        <v>6.4529617564575146</v>
      </c>
      <c r="S71" s="266">
        <v>16.619298730000001</v>
      </c>
      <c r="T71" s="265">
        <v>0.12747890514898699</v>
      </c>
      <c r="U71" s="265">
        <v>2.1389987433954441E-2</v>
      </c>
      <c r="V71" s="265">
        <v>1.7016494605353701E-2</v>
      </c>
      <c r="W71" s="265">
        <v>0.4932611247415884</v>
      </c>
      <c r="X71" s="265">
        <v>0.34600909753608389</v>
      </c>
      <c r="Y71" s="265">
        <v>4.4208925686026287E-2</v>
      </c>
      <c r="Z71" s="265">
        <v>4.4208925686026301E-2</v>
      </c>
      <c r="AA71" s="265">
        <v>4.8778544423902982E-2</v>
      </c>
    </row>
    <row r="72" spans="1:27" ht="14" customHeight="1">
      <c r="A72" s="264" t="s">
        <v>727</v>
      </c>
      <c r="B72" s="81">
        <v>17</v>
      </c>
      <c r="C72" s="265">
        <v>6.3412307690000003E-2</v>
      </c>
      <c r="D72" s="265">
        <v>0.1119544632683398</v>
      </c>
      <c r="E72" s="265">
        <v>0.28826035423221791</v>
      </c>
      <c r="F72" s="265">
        <v>0.25151196091497779</v>
      </c>
      <c r="G72" s="266">
        <v>1.150971143325445</v>
      </c>
      <c r="H72" s="266">
        <v>1.358857744</v>
      </c>
      <c r="I72" s="265">
        <v>8.9860602687999988E-2</v>
      </c>
      <c r="J72" s="265">
        <v>0.472945897</v>
      </c>
      <c r="K72" s="265">
        <v>3.6700000000000003E-2</v>
      </c>
      <c r="L72" s="265">
        <v>0.20454132508220679</v>
      </c>
      <c r="M72" s="265">
        <v>7.71103959143985E-2</v>
      </c>
      <c r="N72" s="266">
        <v>3.0986362163184871</v>
      </c>
      <c r="O72" s="266">
        <v>2.0295173393333288</v>
      </c>
      <c r="P72" s="266">
        <v>13.60043911691387</v>
      </c>
      <c r="Q72" s="266">
        <v>18.569376895940259</v>
      </c>
      <c r="R72" s="266">
        <v>43.047936449628963</v>
      </c>
      <c r="S72" s="266">
        <v>238.79629980000001</v>
      </c>
      <c r="T72" s="265">
        <v>7.7352706071525668E-2</v>
      </c>
      <c r="U72" s="265">
        <v>2.4169079582853741E-2</v>
      </c>
      <c r="V72" s="265">
        <v>7.4313965607991153E-3</v>
      </c>
      <c r="W72" s="265">
        <v>0.25757684361095112</v>
      </c>
      <c r="X72" s="265">
        <v>0.94806530885186957</v>
      </c>
      <c r="Y72" s="265">
        <v>0.53707436058141855</v>
      </c>
      <c r="Z72" s="265">
        <v>0.53707436058141855</v>
      </c>
      <c r="AA72" s="265">
        <v>0.1093124794289978</v>
      </c>
    </row>
    <row r="73" spans="1:27" ht="14" customHeight="1">
      <c r="A73" s="264" t="s">
        <v>728</v>
      </c>
      <c r="B73" s="81">
        <v>80</v>
      </c>
      <c r="C73" s="265">
        <v>7.2262708329999994E-2</v>
      </c>
      <c r="D73" s="265">
        <v>8.350760093148743E-2</v>
      </c>
      <c r="E73" s="265">
        <v>0.1357376993599429</v>
      </c>
      <c r="F73" s="265">
        <v>0.2321817328808107</v>
      </c>
      <c r="G73" s="266">
        <v>0.89371496522206739</v>
      </c>
      <c r="H73" s="266">
        <v>1.278978137</v>
      </c>
      <c r="I73" s="265">
        <v>8.5706863123999985E-2</v>
      </c>
      <c r="J73" s="265">
        <v>0.42830792600000001</v>
      </c>
      <c r="K73" s="265">
        <v>3.6700000000000003E-2</v>
      </c>
      <c r="L73" s="265">
        <v>0.37834142231364742</v>
      </c>
      <c r="M73" s="265">
        <v>6.3694254276807874E-2</v>
      </c>
      <c r="N73" s="266">
        <v>1.7866917867315539</v>
      </c>
      <c r="O73" s="266">
        <v>1.395330675876709</v>
      </c>
      <c r="P73" s="266">
        <v>12.66019506064969</v>
      </c>
      <c r="Q73" s="266">
        <v>16.140701823133831</v>
      </c>
      <c r="R73" s="266">
        <v>2.9561281056734718</v>
      </c>
      <c r="S73" s="266">
        <v>897.3225023</v>
      </c>
      <c r="T73" s="265">
        <v>0.17093500459243971</v>
      </c>
      <c r="U73" s="265">
        <v>7.3262031740190817E-2</v>
      </c>
      <c r="V73" s="265">
        <v>9.2432963061731502E-2</v>
      </c>
      <c r="W73" s="265">
        <v>1.375860504261093</v>
      </c>
      <c r="X73" s="265">
        <v>0.16471300547663831</v>
      </c>
      <c r="Y73" s="265">
        <v>0.28907917079999512</v>
      </c>
      <c r="Z73" s="265">
        <v>0.28907917079999512</v>
      </c>
      <c r="AA73" s="265">
        <v>8.6292095979537076E-2</v>
      </c>
    </row>
    <row r="74" spans="1:27" ht="14" customHeight="1">
      <c r="A74" s="264" t="s">
        <v>729</v>
      </c>
      <c r="B74" s="81">
        <v>18</v>
      </c>
      <c r="C74" s="265">
        <v>1.506866667E-2</v>
      </c>
      <c r="D74" s="265">
        <v>4.1799402617702673E-2</v>
      </c>
      <c r="E74" s="265">
        <v>0.1381824512217662</v>
      </c>
      <c r="F74" s="265">
        <v>0.24941902418791231</v>
      </c>
      <c r="G74" s="266">
        <v>0.94572679473428167</v>
      </c>
      <c r="H74" s="266">
        <v>1.1436996719999999</v>
      </c>
      <c r="I74" s="265">
        <v>7.8672382943999988E-2</v>
      </c>
      <c r="J74" s="265">
        <v>0.40402199500000002</v>
      </c>
      <c r="K74" s="265">
        <v>3.6700000000000003E-2</v>
      </c>
      <c r="L74" s="265">
        <v>0.24302062060903559</v>
      </c>
      <c r="M74" s="265">
        <v>6.6242514198421115E-2</v>
      </c>
      <c r="N74" s="266">
        <v>4.2033973909382176</v>
      </c>
      <c r="O74" s="266">
        <v>0.8785429822551506</v>
      </c>
      <c r="P74" s="266">
        <v>12.20563696473647</v>
      </c>
      <c r="Q74" s="266">
        <v>22.57429016050726</v>
      </c>
      <c r="R74" s="266">
        <v>4.8429963023538036</v>
      </c>
      <c r="S74" s="266">
        <v>18.636484159999998</v>
      </c>
      <c r="T74" s="265">
        <v>1.9978328292947319E-2</v>
      </c>
      <c r="U74" s="265">
        <v>2.4490005368021948E-2</v>
      </c>
      <c r="V74" s="265">
        <v>4.8751012742217353E-3</v>
      </c>
      <c r="W74" s="265">
        <v>0.17014536849693049</v>
      </c>
      <c r="X74" s="265">
        <v>0.18142615744208559</v>
      </c>
      <c r="Y74" s="265">
        <v>0.44441497154323562</v>
      </c>
      <c r="Z74" s="265">
        <v>0.44441497154323562</v>
      </c>
      <c r="AA74" s="265">
        <v>3.8899797234579092E-2</v>
      </c>
    </row>
    <row r="75" spans="1:27" ht="14" customHeight="1">
      <c r="A75" s="264" t="s">
        <v>730</v>
      </c>
      <c r="B75" s="81">
        <v>13</v>
      </c>
      <c r="C75" s="265">
        <v>5.568571429E-2</v>
      </c>
      <c r="D75" s="265">
        <v>2.2906275507618489E-2</v>
      </c>
      <c r="E75" s="265">
        <v>7.1272248125199292E-2</v>
      </c>
      <c r="F75" s="265">
        <v>0.24142139204661639</v>
      </c>
      <c r="G75" s="266">
        <v>0.34510306364726978</v>
      </c>
      <c r="H75" s="266">
        <v>0.587786853</v>
      </c>
      <c r="I75" s="265">
        <v>4.9764916356E-2</v>
      </c>
      <c r="J75" s="265">
        <v>0.37181372200000001</v>
      </c>
      <c r="K75" s="265">
        <v>3.27E-2</v>
      </c>
      <c r="L75" s="265">
        <v>0.49150542196470121</v>
      </c>
      <c r="M75" s="265">
        <v>3.7359360617090463E-2</v>
      </c>
      <c r="N75" s="266">
        <v>4.2618537466283453</v>
      </c>
      <c r="O75" s="266">
        <v>0.48654781097203498</v>
      </c>
      <c r="P75" s="266">
        <v>8.9281208985486362</v>
      </c>
      <c r="Q75" s="266">
        <v>25.371838247367279</v>
      </c>
      <c r="R75" s="266">
        <v>2.688157099553067</v>
      </c>
      <c r="S75" s="266">
        <v>395.14394429999999</v>
      </c>
      <c r="T75" s="265">
        <v>-1.232719435737203E-3</v>
      </c>
      <c r="U75" s="265">
        <v>2.7878366880402121E-2</v>
      </c>
      <c r="V75" s="265">
        <v>6.4658485165415254E-3</v>
      </c>
      <c r="W75" s="265">
        <v>0.42706984260082681</v>
      </c>
      <c r="X75" s="265">
        <v>0.18111905246124341</v>
      </c>
      <c r="Y75" s="265">
        <v>0.34194840381670399</v>
      </c>
      <c r="Z75" s="265">
        <v>0.34194840381670399</v>
      </c>
      <c r="AA75" s="265">
        <v>1.9174109321536049E-2</v>
      </c>
    </row>
    <row r="76" spans="1:27" ht="14" customHeight="1">
      <c r="A76" s="264" t="s">
        <v>731</v>
      </c>
      <c r="B76" s="81">
        <v>70</v>
      </c>
      <c r="C76" s="265">
        <v>0.18271148149999999</v>
      </c>
      <c r="D76" s="265">
        <v>6.7073565757899786E-2</v>
      </c>
      <c r="E76" s="265">
        <v>9.9948273800255921E-2</v>
      </c>
      <c r="F76" s="265">
        <v>0.14316009662969231</v>
      </c>
      <c r="G76" s="266">
        <v>1.159418246793839</v>
      </c>
      <c r="H76" s="266">
        <v>1.2301273779999999</v>
      </c>
      <c r="I76" s="265">
        <v>8.3166623655999986E-2</v>
      </c>
      <c r="J76" s="265">
        <v>0.55967185100000005</v>
      </c>
      <c r="K76" s="265">
        <v>3.6700000000000003E-2</v>
      </c>
      <c r="L76" s="265">
        <v>0.11400951566390061</v>
      </c>
      <c r="M76" s="265">
        <v>7.6822949092226395E-2</v>
      </c>
      <c r="N76" s="266">
        <v>1.6500240060316409</v>
      </c>
      <c r="O76" s="266">
        <v>3.4182355837731979</v>
      </c>
      <c r="P76" s="266">
        <v>22.820140106083361</v>
      </c>
      <c r="Q76" s="266">
        <v>53.476057410543007</v>
      </c>
      <c r="R76" s="266">
        <v>13.50119380757654</v>
      </c>
      <c r="S76" s="266">
        <v>243.82374160000001</v>
      </c>
      <c r="T76" s="265">
        <v>-9.8870757825356217E-3</v>
      </c>
      <c r="U76" s="265">
        <v>5.264802989789804E-2</v>
      </c>
      <c r="V76" s="265">
        <v>-2.10907588953469E-3</v>
      </c>
      <c r="W76" s="265">
        <v>0.21882481173886531</v>
      </c>
      <c r="X76" s="265">
        <v>0.22405166121112979</v>
      </c>
      <c r="Y76" s="265">
        <v>3.5960449885306868E-2</v>
      </c>
      <c r="Z76" s="265">
        <v>3.5960449885306889E-2</v>
      </c>
      <c r="AA76" s="265">
        <v>6.2400554117745283E-2</v>
      </c>
    </row>
    <row r="77" spans="1:27" ht="14" customHeight="1">
      <c r="A77" s="264" t="s">
        <v>732</v>
      </c>
      <c r="B77" s="81">
        <v>89</v>
      </c>
      <c r="C77" s="265">
        <v>7.6529354840000008E-2</v>
      </c>
      <c r="D77" s="265">
        <v>5.7618662555037461E-2</v>
      </c>
      <c r="E77" s="265">
        <v>0.1204498006738689</v>
      </c>
      <c r="F77" s="265">
        <v>0.22329696913985819</v>
      </c>
      <c r="G77" s="266">
        <v>0.69034637967944268</v>
      </c>
      <c r="H77" s="266">
        <v>1.0303212349999999</v>
      </c>
      <c r="I77" s="265">
        <v>7.2776704219999988E-2</v>
      </c>
      <c r="J77" s="265">
        <v>0.44947682999999999</v>
      </c>
      <c r="K77" s="265">
        <v>3.6700000000000003E-2</v>
      </c>
      <c r="L77" s="265">
        <v>0.41373115250803971</v>
      </c>
      <c r="M77" s="265">
        <v>5.4054664480106471E-2</v>
      </c>
      <c r="N77" s="266">
        <v>2.4477155353218851</v>
      </c>
      <c r="O77" s="266">
        <v>1.1873922100308529</v>
      </c>
      <c r="P77" s="266">
        <v>9.7157607475244507</v>
      </c>
      <c r="Q77" s="266">
        <v>21.287033195134271</v>
      </c>
      <c r="R77" s="266">
        <v>4.568684554463224</v>
      </c>
      <c r="S77" s="266">
        <v>23.793345049999999</v>
      </c>
      <c r="T77" s="265">
        <v>8.0017650977129359E-2</v>
      </c>
      <c r="U77" s="265">
        <v>2.3882968594784421E-2</v>
      </c>
      <c r="V77" s="265">
        <v>5.4809381975704022E-3</v>
      </c>
      <c r="W77" s="265">
        <v>0.27210792841683817</v>
      </c>
      <c r="X77" s="265">
        <v>0.19919010666178469</v>
      </c>
      <c r="Y77" s="265">
        <v>0.40090750973302253</v>
      </c>
      <c r="Z77" s="265">
        <v>0.40090750973302253</v>
      </c>
      <c r="AA77" s="265">
        <v>5.5840287429354631E-2</v>
      </c>
    </row>
    <row r="78" spans="1:27" ht="14" customHeight="1">
      <c r="A78" s="264" t="s">
        <v>733</v>
      </c>
      <c r="B78" s="81">
        <v>4</v>
      </c>
      <c r="C78" s="265">
        <v>-6.1650000000000003E-2</v>
      </c>
      <c r="D78" s="265">
        <v>5.5145703338559483E-2</v>
      </c>
      <c r="E78" s="265">
        <v>6.1170863179706512E-2</v>
      </c>
      <c r="F78" s="265">
        <v>0.41969907688707059</v>
      </c>
      <c r="G78" s="266">
        <v>0.45318132931651128</v>
      </c>
      <c r="H78" s="266">
        <v>0.98298896800000002</v>
      </c>
      <c r="I78" s="265">
        <v>7.0315426335999992E-2</v>
      </c>
      <c r="J78" s="265">
        <v>0.57589186400000003</v>
      </c>
      <c r="K78" s="265">
        <v>3.6700000000000003E-2</v>
      </c>
      <c r="L78" s="265">
        <v>0.64032676745754324</v>
      </c>
      <c r="M78" s="265">
        <v>4.2915570962138987E-2</v>
      </c>
      <c r="N78" s="266">
        <v>1.289556108176702</v>
      </c>
      <c r="O78" s="266">
        <v>0.74282613815554643</v>
      </c>
      <c r="P78" s="266">
        <v>5.9255227038924589</v>
      </c>
      <c r="Q78" s="266">
        <v>12.436737340065021</v>
      </c>
      <c r="R78" s="266">
        <v>0.80021997498570163</v>
      </c>
      <c r="S78" s="266">
        <v>21.54909803</v>
      </c>
      <c r="T78" s="265">
        <v>0.1926714575529882</v>
      </c>
      <c r="U78" s="265">
        <v>5.4374093519426361E-2</v>
      </c>
      <c r="V78" s="265">
        <v>3.0245839790713079E-3</v>
      </c>
      <c r="W78" s="265">
        <v>0.7734565244622541</v>
      </c>
      <c r="X78" s="265">
        <v>3.6994694290045482E-2</v>
      </c>
      <c r="Y78" s="265">
        <v>0.76426767790228511</v>
      </c>
      <c r="Z78" s="265">
        <v>0.76426767790228511</v>
      </c>
      <c r="AA78" s="265">
        <v>5.9721744351016383E-2</v>
      </c>
    </row>
    <row r="79" spans="1:27" ht="14" customHeight="1">
      <c r="A79" s="264" t="s">
        <v>734</v>
      </c>
      <c r="B79" s="81">
        <v>72</v>
      </c>
      <c r="C79" s="265">
        <v>8.3476603770000005E-2</v>
      </c>
      <c r="D79" s="265">
        <v>0.24617957465863771</v>
      </c>
      <c r="E79" s="265">
        <v>0.17003312768423531</v>
      </c>
      <c r="F79" s="265">
        <v>0.1408216497210554</v>
      </c>
      <c r="G79" s="266">
        <v>1.2368902767245551</v>
      </c>
      <c r="H79" s="266">
        <v>1.2865982869999999</v>
      </c>
      <c r="I79" s="265">
        <v>8.6103110923999984E-2</v>
      </c>
      <c r="J79" s="265">
        <v>0.43694603399999998</v>
      </c>
      <c r="K79" s="265">
        <v>3.6700000000000003E-2</v>
      </c>
      <c r="L79" s="265">
        <v>0.105545976070244</v>
      </c>
      <c r="M79" s="265">
        <v>7.9920427030175392E-2</v>
      </c>
      <c r="N79" s="266">
        <v>0.71283249571375162</v>
      </c>
      <c r="O79" s="266">
        <v>5.3756298987817956</v>
      </c>
      <c r="P79" s="266">
        <v>13.70957778436297</v>
      </c>
      <c r="Q79" s="266">
        <v>21.65685013854544</v>
      </c>
      <c r="R79" s="266">
        <v>5.012930763054209</v>
      </c>
      <c r="S79" s="266">
        <v>97.093674210000003</v>
      </c>
      <c r="T79" s="265">
        <v>0.16943441337652329</v>
      </c>
      <c r="U79" s="265">
        <v>0.14119219281651649</v>
      </c>
      <c r="V79" s="265">
        <v>0.1569875766533938</v>
      </c>
      <c r="W79" s="265">
        <v>0.70962669668138301</v>
      </c>
      <c r="X79" s="265">
        <v>0.2029425920007224</v>
      </c>
      <c r="Y79" s="265">
        <v>0.43914167861377529</v>
      </c>
      <c r="Z79" s="265">
        <v>0.43914167861377529</v>
      </c>
      <c r="AA79" s="265">
        <v>0.25370601550190292</v>
      </c>
    </row>
    <row r="80" spans="1:27" ht="14" customHeight="1">
      <c r="A80" s="264" t="s">
        <v>735</v>
      </c>
      <c r="B80" s="81">
        <v>39</v>
      </c>
      <c r="C80" s="265">
        <v>5.314E-2</v>
      </c>
      <c r="D80" s="265">
        <v>0.19221135954697061</v>
      </c>
      <c r="E80" s="265">
        <v>0.22138163141196171</v>
      </c>
      <c r="F80" s="265">
        <v>0.13519564881894941</v>
      </c>
      <c r="G80" s="266">
        <v>1.2534843105487561</v>
      </c>
      <c r="H80" s="266">
        <v>1.278467646</v>
      </c>
      <c r="I80" s="265">
        <v>8.5680317591999997E-2</v>
      </c>
      <c r="J80" s="265">
        <v>0.41063703099999999</v>
      </c>
      <c r="K80" s="265">
        <v>3.6700000000000003E-2</v>
      </c>
      <c r="L80" s="265">
        <v>0.10852016843933721</v>
      </c>
      <c r="M80" s="265">
        <v>7.9369292731272995E-2</v>
      </c>
      <c r="N80" s="266">
        <v>1.228570869576934</v>
      </c>
      <c r="O80" s="266">
        <v>3.9985726938741939</v>
      </c>
      <c r="P80" s="266">
        <v>15.70896794760157</v>
      </c>
      <c r="Q80" s="266">
        <v>20.426512400260489</v>
      </c>
      <c r="R80" s="266">
        <v>5.8509588479323904</v>
      </c>
      <c r="S80" s="266">
        <v>39.72517569</v>
      </c>
      <c r="T80" s="265">
        <v>0.29004782930000961</v>
      </c>
      <c r="U80" s="265">
        <v>4.3370906496172562E-2</v>
      </c>
      <c r="V80" s="265">
        <v>0.119878072657464</v>
      </c>
      <c r="W80" s="265">
        <v>0.69035345362897427</v>
      </c>
      <c r="X80" s="265">
        <v>0.27649063690300901</v>
      </c>
      <c r="Y80" s="265">
        <v>0.29196012680405881</v>
      </c>
      <c r="Z80" s="265">
        <v>0.29196012680405881</v>
      </c>
      <c r="AA80" s="265">
        <v>0.199050554401351</v>
      </c>
    </row>
    <row r="81" spans="1:27" ht="14" customHeight="1">
      <c r="A81" s="264" t="s">
        <v>736</v>
      </c>
      <c r="B81" s="81">
        <v>10</v>
      </c>
      <c r="C81" s="265">
        <v>9.7783333330000013E-2</v>
      </c>
      <c r="D81" s="265">
        <v>7.4109463079198815E-2</v>
      </c>
      <c r="E81" s="265">
        <v>6.0183006441803411E-2</v>
      </c>
      <c r="F81" s="265">
        <v>0.2281786941580756</v>
      </c>
      <c r="G81" s="266">
        <v>1.571394502007438</v>
      </c>
      <c r="H81" s="266">
        <v>2.1735484760000001</v>
      </c>
      <c r="I81" s="265">
        <v>0.132224520752</v>
      </c>
      <c r="J81" s="265">
        <v>0.34054304200000002</v>
      </c>
      <c r="K81" s="265">
        <v>3.27E-2</v>
      </c>
      <c r="L81" s="265">
        <v>0.35779930375459251</v>
      </c>
      <c r="M81" s="265">
        <v>9.3689707212231105E-2</v>
      </c>
      <c r="N81" s="266">
        <v>0.75652439150719486</v>
      </c>
      <c r="O81" s="266">
        <v>1.979172790149123</v>
      </c>
      <c r="P81" s="266">
        <v>11.32133333023787</v>
      </c>
      <c r="Q81" s="266">
        <v>23.308228605044722</v>
      </c>
      <c r="R81" s="266">
        <v>1.3401041855140361</v>
      </c>
      <c r="S81" s="266">
        <v>25.12694874</v>
      </c>
      <c r="T81" s="265">
        <v>0.1676229160836365</v>
      </c>
      <c r="U81" s="265">
        <v>0.1297960260664455</v>
      </c>
      <c r="V81" s="265">
        <v>0.1047033142765762</v>
      </c>
      <c r="W81" s="265">
        <v>1.7373888072625141</v>
      </c>
      <c r="X81" s="265">
        <v>2.693615898939522E-2</v>
      </c>
      <c r="Y81" s="265">
        <v>0.32105775161021638</v>
      </c>
      <c r="Z81" s="265">
        <v>0.32105775161021638</v>
      </c>
      <c r="AA81" s="265">
        <v>8.3644177027945465E-2</v>
      </c>
    </row>
    <row r="82" spans="1:27" ht="14" customHeight="1">
      <c r="A82" s="264" t="s">
        <v>737</v>
      </c>
      <c r="B82" s="81">
        <v>11</v>
      </c>
      <c r="C82" s="265">
        <v>3.11875E-2</v>
      </c>
      <c r="D82" s="265">
        <v>0.12473296080179171</v>
      </c>
      <c r="E82" s="265">
        <v>0.30569969295317162</v>
      </c>
      <c r="F82" s="265">
        <v>0.1529940361057382</v>
      </c>
      <c r="G82" s="266">
        <v>0.83360996909511786</v>
      </c>
      <c r="H82" s="266">
        <v>0.86816026400000001</v>
      </c>
      <c r="I82" s="265">
        <v>6.4344333727999997E-2</v>
      </c>
      <c r="J82" s="265">
        <v>0.375639371</v>
      </c>
      <c r="K82" s="265">
        <v>3.27E-2</v>
      </c>
      <c r="L82" s="265">
        <v>8.0897933855649057E-2</v>
      </c>
      <c r="M82" s="265">
        <v>6.112303190189624E-2</v>
      </c>
      <c r="N82" s="266">
        <v>2.9053725507375989</v>
      </c>
      <c r="O82" s="266">
        <v>3.550348413120501</v>
      </c>
      <c r="P82" s="266">
        <v>22.0797564491556</v>
      </c>
      <c r="Q82" s="266">
        <v>29.027036966787659</v>
      </c>
      <c r="R82" s="266">
        <v>12.211382827957801</v>
      </c>
      <c r="S82" s="266">
        <v>23.090032149999999</v>
      </c>
      <c r="T82" s="265">
        <v>0.2076420963138853</v>
      </c>
      <c r="U82" s="265">
        <v>6.4733222972112566E-3</v>
      </c>
      <c r="V82" s="265">
        <v>-8.3879896030741273E-3</v>
      </c>
      <c r="W82" s="265">
        <v>-3.9956064632188273E-2</v>
      </c>
      <c r="X82" s="265">
        <v>0.40157200665824822</v>
      </c>
      <c r="Y82" s="265">
        <v>0.2678039825261973</v>
      </c>
      <c r="Z82" s="265">
        <v>0.2678039825261973</v>
      </c>
      <c r="AA82" s="265">
        <v>0.12231477891551371</v>
      </c>
    </row>
    <row r="83" spans="1:27" ht="14" customHeight="1">
      <c r="A83" s="264" t="s">
        <v>738</v>
      </c>
      <c r="B83" s="81">
        <v>86</v>
      </c>
      <c r="C83" s="265">
        <v>0.13534545449999999</v>
      </c>
      <c r="D83" s="265">
        <v>0.22643820352253299</v>
      </c>
      <c r="E83" s="265">
        <v>0.1701225573479789</v>
      </c>
      <c r="F83" s="265">
        <v>0.18774007029269449</v>
      </c>
      <c r="G83" s="266">
        <v>1.2858744552797761</v>
      </c>
      <c r="H83" s="266">
        <v>1.2883300280000001</v>
      </c>
      <c r="I83" s="265">
        <v>8.6193161455999992E-2</v>
      </c>
      <c r="J83" s="265">
        <v>0.61373098999999998</v>
      </c>
      <c r="K83" s="265">
        <v>3.6700000000000003E-2</v>
      </c>
      <c r="L83" s="265">
        <v>3.659924861463499E-2</v>
      </c>
      <c r="M83" s="265">
        <v>8.4045950829108304E-2</v>
      </c>
      <c r="N83" s="266">
        <v>0.70863073494727258</v>
      </c>
      <c r="O83" s="266">
        <v>6.7587449807879461</v>
      </c>
      <c r="P83" s="266">
        <v>20.596038085418972</v>
      </c>
      <c r="Q83" s="266">
        <v>30.272888882104759</v>
      </c>
      <c r="R83" s="266">
        <v>5.1244841795799276</v>
      </c>
      <c r="S83" s="266">
        <v>33.979597040000002</v>
      </c>
      <c r="T83" s="265">
        <v>6.6934474831070206E-2</v>
      </c>
      <c r="U83" s="265">
        <v>0.16707237507660189</v>
      </c>
      <c r="V83" s="265">
        <v>0.12730332043466649</v>
      </c>
      <c r="W83" s="265">
        <v>0.85606057476760944</v>
      </c>
      <c r="X83" s="265">
        <v>0.18491999161210451</v>
      </c>
      <c r="Y83" s="265">
        <v>0</v>
      </c>
      <c r="Z83" s="265">
        <v>0</v>
      </c>
      <c r="AA83" s="265">
        <v>0.24566561317284349</v>
      </c>
    </row>
    <row r="84" spans="1:27" ht="14" customHeight="1">
      <c r="A84" s="264" t="s">
        <v>739</v>
      </c>
      <c r="B84" s="81">
        <v>30</v>
      </c>
      <c r="C84" s="265">
        <v>0.30919166669999998</v>
      </c>
      <c r="D84" s="265">
        <v>9.1508430779648445E-2</v>
      </c>
      <c r="E84" s="265">
        <v>0.1112137469268972</v>
      </c>
      <c r="F84" s="265">
        <v>0.1534834451216176</v>
      </c>
      <c r="G84" s="266">
        <v>1.5032034061310999</v>
      </c>
      <c r="H84" s="266">
        <v>1.6728300780000001</v>
      </c>
      <c r="I84" s="265">
        <v>0.106187164056</v>
      </c>
      <c r="J84" s="265">
        <v>0.44781404299999999</v>
      </c>
      <c r="K84" s="265">
        <v>3.6700000000000003E-2</v>
      </c>
      <c r="L84" s="265">
        <v>0.1695353945937764</v>
      </c>
      <c r="M84" s="265">
        <v>9.2851143033165662E-2</v>
      </c>
      <c r="N84" s="266">
        <v>1.021077148260791</v>
      </c>
      <c r="O84" s="266">
        <v>7.6368607217385458</v>
      </c>
      <c r="P84" s="266">
        <v>20.229301923991571</v>
      </c>
      <c r="Q84" s="266">
        <v>58.7595716623212</v>
      </c>
      <c r="R84" s="266">
        <v>9.3864730046731282</v>
      </c>
      <c r="S84" s="266">
        <v>66.750893230000003</v>
      </c>
      <c r="T84" s="265">
        <v>9.7007978113386448E-2</v>
      </c>
      <c r="U84" s="265">
        <v>7.8081378709858235E-2</v>
      </c>
      <c r="V84" s="265">
        <v>9.5322266119225105E-2</v>
      </c>
      <c r="W84" s="265">
        <v>1.5671392920193461</v>
      </c>
      <c r="X84" s="265">
        <v>6.1366180331456938E-2</v>
      </c>
      <c r="Y84" s="265">
        <v>2.5777244619624981E-2</v>
      </c>
      <c r="Z84" s="265">
        <v>2.5777244619624939E-2</v>
      </c>
      <c r="AA84" s="265">
        <v>0.10993710069848819</v>
      </c>
    </row>
    <row r="85" spans="1:27" ht="14" customHeight="1">
      <c r="A85" s="264" t="s">
        <v>11</v>
      </c>
      <c r="B85" s="81">
        <v>363</v>
      </c>
      <c r="C85" s="265">
        <v>0.150381338</v>
      </c>
      <c r="D85" s="265">
        <v>0.22250902833301689</v>
      </c>
      <c r="E85" s="265">
        <v>0.20028865277858349</v>
      </c>
      <c r="F85" s="265">
        <v>0.1124155642591592</v>
      </c>
      <c r="G85" s="266">
        <v>1.1491608268691911</v>
      </c>
      <c r="H85" s="266">
        <v>1.196459765</v>
      </c>
      <c r="I85" s="265">
        <v>8.1415907779999991E-2</v>
      </c>
      <c r="J85" s="265">
        <v>0.49502169000000001</v>
      </c>
      <c r="K85" s="265">
        <v>3.6700000000000003E-2</v>
      </c>
      <c r="L85" s="265">
        <v>8.8188508948937747E-2</v>
      </c>
      <c r="M85" s="265">
        <v>7.6663348976977075E-2</v>
      </c>
      <c r="N85" s="266">
        <v>0.85301943809081127</v>
      </c>
      <c r="O85" s="266">
        <v>8.7659551169062571</v>
      </c>
      <c r="P85" s="266">
        <v>24.00477737739935</v>
      </c>
      <c r="Q85" s="266">
        <v>35.624444466461483</v>
      </c>
      <c r="R85" s="266">
        <v>9.9171478491540608</v>
      </c>
      <c r="S85" s="266">
        <v>110.9020732</v>
      </c>
      <c r="T85" s="265">
        <v>0.13079407113965069</v>
      </c>
      <c r="U85" s="265">
        <v>6.5155030330207683E-2</v>
      </c>
      <c r="V85" s="265">
        <v>7.1799377540386164E-2</v>
      </c>
      <c r="W85" s="265">
        <v>0.44378915062787733</v>
      </c>
      <c r="X85" s="265">
        <v>0.27914517334435079</v>
      </c>
      <c r="Y85" s="265">
        <v>0.30545961369835273</v>
      </c>
      <c r="Z85" s="265">
        <v>0.30545961369835273</v>
      </c>
      <c r="AA85" s="265">
        <v>0.24057639176907589</v>
      </c>
    </row>
    <row r="86" spans="1:27" ht="14" customHeight="1">
      <c r="A86" s="264" t="s">
        <v>740</v>
      </c>
      <c r="B86" s="81">
        <v>32</v>
      </c>
      <c r="C86" s="265">
        <v>2.2896666669999999E-2</v>
      </c>
      <c r="D86" s="265">
        <v>7.7505257455799226E-2</v>
      </c>
      <c r="E86" s="265">
        <v>0.16313788752054131</v>
      </c>
      <c r="F86" s="265">
        <v>0.1827549310502955</v>
      </c>
      <c r="G86" s="266">
        <v>1.28556891382322</v>
      </c>
      <c r="H86" s="266">
        <v>1.618693392</v>
      </c>
      <c r="I86" s="265">
        <v>0.103372056384</v>
      </c>
      <c r="J86" s="265">
        <v>0.39387867799999998</v>
      </c>
      <c r="K86" s="265">
        <v>3.27E-2</v>
      </c>
      <c r="L86" s="265">
        <v>0.31959969404403482</v>
      </c>
      <c r="M86" s="265">
        <v>7.8172561287400827E-2</v>
      </c>
      <c r="N86" s="266">
        <v>2.2895436673207521</v>
      </c>
      <c r="O86" s="266">
        <v>0.7014389748884815</v>
      </c>
      <c r="P86" s="266">
        <v>6.2417933076178613</v>
      </c>
      <c r="Q86" s="266">
        <v>8.9015860273100564</v>
      </c>
      <c r="R86" s="266">
        <v>1.4350254465111469</v>
      </c>
      <c r="S86" s="266">
        <v>14.33817861</v>
      </c>
      <c r="T86" s="265">
        <v>0.19611343149809779</v>
      </c>
      <c r="U86" s="265">
        <v>5.029856783209536E-2</v>
      </c>
      <c r="V86" s="265">
        <v>3.322607467770345E-2</v>
      </c>
      <c r="W86" s="265">
        <v>0.36271478220116338</v>
      </c>
      <c r="X86" s="265">
        <v>0.18409435794231099</v>
      </c>
      <c r="Y86" s="265">
        <v>0.1965882713925507</v>
      </c>
      <c r="Z86" s="265">
        <v>0.19658827139255061</v>
      </c>
      <c r="AA86" s="265">
        <v>7.851074621566341E-2</v>
      </c>
    </row>
    <row r="87" spans="1:27" ht="14" customHeight="1">
      <c r="A87" s="264" t="s">
        <v>741</v>
      </c>
      <c r="B87" s="81">
        <v>18</v>
      </c>
      <c r="C87" s="265">
        <v>3.4799999999999998E-2</v>
      </c>
      <c r="D87" s="265">
        <v>0.10389000484403541</v>
      </c>
      <c r="E87" s="265">
        <v>5.6545575357136071E-2</v>
      </c>
      <c r="F87" s="265">
        <v>0.2525495264443951</v>
      </c>
      <c r="G87" s="266">
        <v>0.59690807402526536</v>
      </c>
      <c r="H87" s="266">
        <v>1.142928674</v>
      </c>
      <c r="I87" s="265">
        <v>7.8632291048E-2</v>
      </c>
      <c r="J87" s="265">
        <v>0.41849140699999998</v>
      </c>
      <c r="K87" s="265">
        <v>3.6700000000000003E-2</v>
      </c>
      <c r="L87" s="265">
        <v>0.56745798875247111</v>
      </c>
      <c r="M87" s="265">
        <v>4.9631050459314749E-2</v>
      </c>
      <c r="N87" s="266">
        <v>0.59121806389405063</v>
      </c>
      <c r="O87" s="266">
        <v>2.427261703456153</v>
      </c>
      <c r="P87" s="266">
        <v>6.6388994679651017</v>
      </c>
      <c r="Q87" s="266">
        <v>23.870715920618661</v>
      </c>
      <c r="R87" s="266">
        <v>1.5424136960872279</v>
      </c>
      <c r="S87" s="266">
        <v>25.6624154</v>
      </c>
      <c r="T87" s="265">
        <v>1.8494693781413999E-2</v>
      </c>
      <c r="U87" s="265">
        <v>0.22941027202147371</v>
      </c>
      <c r="V87" s="265">
        <v>3.3783769370586497E-2</v>
      </c>
      <c r="W87" s="265">
        <v>1.239235843154354</v>
      </c>
      <c r="X87" s="265">
        <v>1.147018023551136E-2</v>
      </c>
      <c r="Y87" s="265">
        <v>0.1380436777390347</v>
      </c>
      <c r="Z87" s="265">
        <v>0.1380436777390347</v>
      </c>
      <c r="AA87" s="265">
        <v>0.1016314676871731</v>
      </c>
    </row>
    <row r="88" spans="1:27" ht="14" customHeight="1">
      <c r="A88" s="264" t="s">
        <v>742</v>
      </c>
      <c r="B88" s="81">
        <v>91</v>
      </c>
      <c r="C88" s="265">
        <v>4.8608070179999997E-2</v>
      </c>
      <c r="D88" s="265">
        <v>0.1928205158482047</v>
      </c>
      <c r="E88" s="265">
        <v>0.2069648259414282</v>
      </c>
      <c r="F88" s="265">
        <v>0.21979842497473359</v>
      </c>
      <c r="G88" s="266">
        <v>0.83597865832287344</v>
      </c>
      <c r="H88" s="266">
        <v>0.89438610699999999</v>
      </c>
      <c r="I88" s="265">
        <v>6.5708077563999989E-2</v>
      </c>
      <c r="J88" s="265">
        <v>0.46295718699999999</v>
      </c>
      <c r="K88" s="265">
        <v>3.6700000000000003E-2</v>
      </c>
      <c r="L88" s="265">
        <v>0.1469216936530858</v>
      </c>
      <c r="M88" s="265">
        <v>6.009815513940997E-2</v>
      </c>
      <c r="N88" s="266">
        <v>1.0627313871139461</v>
      </c>
      <c r="O88" s="266">
        <v>3.502258890818045</v>
      </c>
      <c r="P88" s="266">
        <v>13.42267264543462</v>
      </c>
      <c r="Q88" s="266">
        <v>17.719960257577121</v>
      </c>
      <c r="R88" s="266">
        <v>4.9997006346001713</v>
      </c>
      <c r="S88" s="266">
        <v>57.038963539999997</v>
      </c>
      <c r="T88" s="265">
        <v>0.18133550969091611</v>
      </c>
      <c r="U88" s="265">
        <v>3.1666889415933257E-2</v>
      </c>
      <c r="V88" s="265">
        <v>9.5468689517638053E-2</v>
      </c>
      <c r="W88" s="265">
        <v>0.62549766910804117</v>
      </c>
      <c r="X88" s="265">
        <v>0.17578420006082091</v>
      </c>
      <c r="Y88" s="265">
        <v>0.53305957716035179</v>
      </c>
      <c r="Z88" s="265">
        <v>0.53305957716035179</v>
      </c>
      <c r="AA88" s="265">
        <v>0.2031827721067079</v>
      </c>
    </row>
    <row r="89" spans="1:27" ht="14" customHeight="1">
      <c r="A89" s="264" t="s">
        <v>743</v>
      </c>
      <c r="B89" s="81">
        <v>67</v>
      </c>
      <c r="C89" s="265">
        <v>0.1008148148</v>
      </c>
      <c r="D89" s="265">
        <v>0.18292315287117339</v>
      </c>
      <c r="E89" s="265">
        <v>0.13050207292121771</v>
      </c>
      <c r="F89" s="265">
        <v>0.18207107946393619</v>
      </c>
      <c r="G89" s="266">
        <v>0.66658422431944475</v>
      </c>
      <c r="H89" s="266">
        <v>1.0481614109999999</v>
      </c>
      <c r="I89" s="265">
        <v>7.3704393371999993E-2</v>
      </c>
      <c r="J89" s="265">
        <v>0.54473346099999997</v>
      </c>
      <c r="K89" s="265">
        <v>3.6700000000000003E-2</v>
      </c>
      <c r="L89" s="265">
        <v>0.44194012788613091</v>
      </c>
      <c r="M89" s="265">
        <v>5.3295866359474371E-2</v>
      </c>
      <c r="N89" s="266">
        <v>0.75565424496808542</v>
      </c>
      <c r="O89" s="266">
        <v>2.8472602055791412</v>
      </c>
      <c r="P89" s="266">
        <v>7.9316752644124842</v>
      </c>
      <c r="Q89" s="266">
        <v>15.74000688834273</v>
      </c>
      <c r="R89" s="266">
        <v>2.1263087956235891</v>
      </c>
      <c r="S89" s="266">
        <v>742.0913845</v>
      </c>
      <c r="T89" s="265">
        <v>2.2549136522870029E-2</v>
      </c>
      <c r="U89" s="265">
        <v>0.1230405898340594</v>
      </c>
      <c r="V89" s="265">
        <v>-2.7863349420719118E-2</v>
      </c>
      <c r="W89" s="265">
        <v>-0.24935916276364281</v>
      </c>
      <c r="X89" s="265">
        <v>5.6677390527210637E-2</v>
      </c>
      <c r="Y89" s="265">
        <v>1.70557111912648</v>
      </c>
      <c r="Z89" s="265">
        <v>1.70557111912648</v>
      </c>
      <c r="AA89" s="265">
        <v>0.18022345318479269</v>
      </c>
    </row>
    <row r="90" spans="1:27" ht="14" customHeight="1">
      <c r="A90" s="264" t="s">
        <v>744</v>
      </c>
      <c r="B90" s="81">
        <v>17</v>
      </c>
      <c r="C90" s="265">
        <v>3.8370000000000001E-2</v>
      </c>
      <c r="D90" s="265">
        <v>0.39337150351855121</v>
      </c>
      <c r="E90" s="265">
        <v>0.54111168015281352</v>
      </c>
      <c r="F90" s="265">
        <v>0.29891563636875401</v>
      </c>
      <c r="G90" s="266">
        <v>1.426322641272642</v>
      </c>
      <c r="H90" s="266">
        <v>1.6802684489999999</v>
      </c>
      <c r="I90" s="265">
        <v>0.106573959348</v>
      </c>
      <c r="J90" s="265">
        <v>0.38485172299999998</v>
      </c>
      <c r="K90" s="265">
        <v>3.27E-2</v>
      </c>
      <c r="L90" s="265">
        <v>0.22214880396163991</v>
      </c>
      <c r="M90" s="265">
        <v>8.8346881162544577E-2</v>
      </c>
      <c r="N90" s="266">
        <v>1.5537203791062051</v>
      </c>
      <c r="O90" s="266">
        <v>5.1892199499872076</v>
      </c>
      <c r="P90" s="266">
        <v>12.30031106781348</v>
      </c>
      <c r="Q90" s="266">
        <v>13.163776578702119</v>
      </c>
      <c r="R90" s="266">
        <v>89.121037011307948</v>
      </c>
      <c r="S90" s="266">
        <v>24.298604940000001</v>
      </c>
      <c r="T90" s="265">
        <v>0.16277493523199379</v>
      </c>
      <c r="U90" s="265">
        <v>2.5531007570380029E-2</v>
      </c>
      <c r="V90" s="265">
        <v>2.6509600798475121E-2</v>
      </c>
      <c r="W90" s="265">
        <v>0.19178992522283611</v>
      </c>
      <c r="X90" s="265">
        <v>-5.3628982999999995E-4</v>
      </c>
      <c r="Y90" s="265">
        <v>1.4369285357353421</v>
      </c>
      <c r="Z90" s="265">
        <v>1.4369285357353421</v>
      </c>
      <c r="AA90" s="265">
        <v>0.3935174495277971</v>
      </c>
    </row>
    <row r="91" spans="1:27" ht="14" customHeight="1">
      <c r="A91" s="264" t="s">
        <v>745</v>
      </c>
      <c r="B91" s="81">
        <v>18</v>
      </c>
      <c r="C91" s="265">
        <v>0.14349999999999999</v>
      </c>
      <c r="D91" s="265">
        <v>5.0386263774922842E-2</v>
      </c>
      <c r="E91" s="265">
        <v>0.1045331477507076</v>
      </c>
      <c r="F91" s="265">
        <v>0.2153480813162062</v>
      </c>
      <c r="G91" s="266">
        <v>0.95727016951115262</v>
      </c>
      <c r="H91" s="266">
        <v>1.3051698169999999</v>
      </c>
      <c r="I91" s="265">
        <v>8.7068830483999993E-2</v>
      </c>
      <c r="J91" s="265">
        <v>0.279851295</v>
      </c>
      <c r="K91" s="265">
        <v>3.27E-2</v>
      </c>
      <c r="L91" s="265">
        <v>0.35163076925845138</v>
      </c>
      <c r="M91" s="265">
        <v>6.5076495258540895E-2</v>
      </c>
      <c r="N91" s="266">
        <v>2.447070152106976</v>
      </c>
      <c r="O91" s="266">
        <v>1.3480978064133251</v>
      </c>
      <c r="P91" s="266">
        <v>12.38906904932402</v>
      </c>
      <c r="Q91" s="266">
        <v>27.532251778605971</v>
      </c>
      <c r="R91" s="266">
        <v>4.9270592410276066</v>
      </c>
      <c r="S91" s="266">
        <v>58.534077179999997</v>
      </c>
      <c r="T91" s="265">
        <v>7.3870831068741288E-2</v>
      </c>
      <c r="U91" s="265">
        <v>7.0612530935262069E-2</v>
      </c>
      <c r="V91" s="265">
        <v>3.5895131628456672E-2</v>
      </c>
      <c r="W91" s="265">
        <v>1.225604044385364</v>
      </c>
      <c r="X91" s="265">
        <v>0.216138496969979</v>
      </c>
      <c r="Y91" s="265">
        <v>0.59981191551535551</v>
      </c>
      <c r="Z91" s="265">
        <v>0.59981191551535551</v>
      </c>
      <c r="AA91" s="265">
        <v>4.8963663346851212E-2</v>
      </c>
    </row>
    <row r="92" spans="1:27" ht="14" customHeight="1">
      <c r="A92" s="264" t="s">
        <v>746</v>
      </c>
      <c r="B92" s="81">
        <v>8</v>
      </c>
      <c r="C92" s="265">
        <v>7.8249999999999999E-4</v>
      </c>
      <c r="D92" s="265">
        <v>0.38691546827113288</v>
      </c>
      <c r="E92" s="265">
        <v>0.1543815423746539</v>
      </c>
      <c r="F92" s="265">
        <v>0.23383391169079809</v>
      </c>
      <c r="G92" s="266">
        <v>1.891983180677957</v>
      </c>
      <c r="H92" s="266">
        <v>2.2404253390000002</v>
      </c>
      <c r="I92" s="265">
        <v>0.135702117628</v>
      </c>
      <c r="J92" s="265">
        <v>0.18246747199999999</v>
      </c>
      <c r="K92" s="265">
        <v>2.7199999999999998E-2</v>
      </c>
      <c r="L92" s="265">
        <v>0.20783771913049201</v>
      </c>
      <c r="M92" s="265">
        <v>0.11173798848928081</v>
      </c>
      <c r="N92" s="266">
        <v>0.46040852471567451</v>
      </c>
      <c r="O92" s="266">
        <v>6.3241558799110296</v>
      </c>
      <c r="P92" s="266">
        <v>12.55825834648576</v>
      </c>
      <c r="Q92" s="266">
        <v>16.55136853584359</v>
      </c>
      <c r="R92" s="266">
        <v>4.907535770724011</v>
      </c>
      <c r="S92" s="266">
        <v>20.482368640000001</v>
      </c>
      <c r="T92" s="265">
        <v>2.6112811471797129E-2</v>
      </c>
      <c r="U92" s="265">
        <v>0.16296060925984771</v>
      </c>
      <c r="V92" s="265">
        <v>5.937270015682497E-2</v>
      </c>
      <c r="W92" s="265">
        <v>0.19132085312215541</v>
      </c>
      <c r="X92" s="265">
        <v>0.23436643034446639</v>
      </c>
      <c r="Y92" s="265">
        <v>0.33856323545498579</v>
      </c>
      <c r="Z92" s="265">
        <v>0.3385632354549859</v>
      </c>
      <c r="AA92" s="265">
        <v>0.38208300058424982</v>
      </c>
    </row>
    <row r="93" spans="1:27" ht="14" customHeight="1">
      <c r="A93" s="264" t="s">
        <v>747</v>
      </c>
      <c r="B93" s="81">
        <v>33</v>
      </c>
      <c r="C93" s="265">
        <v>0.12984428570000001</v>
      </c>
      <c r="D93" s="265">
        <v>-4.6153607953230223E-2</v>
      </c>
      <c r="E93" s="265">
        <v>3.2657923162550998E-3</v>
      </c>
      <c r="F93" s="265">
        <v>0.26635964891836839</v>
      </c>
      <c r="G93" s="266">
        <v>1.041066799245524</v>
      </c>
      <c r="H93" s="266">
        <v>1.3721746720000001</v>
      </c>
      <c r="I93" s="265">
        <v>9.0553082943999996E-2</v>
      </c>
      <c r="J93" s="265">
        <v>0.41853845000000001</v>
      </c>
      <c r="K93" s="265">
        <v>3.6700000000000003E-2</v>
      </c>
      <c r="L93" s="265">
        <v>0.36659004067105211</v>
      </c>
      <c r="M93" s="265">
        <v>6.7447615454140589E-2</v>
      </c>
      <c r="N93" s="266">
        <v>1.1447242494385359</v>
      </c>
      <c r="O93" s="266">
        <v>1.934138557012246</v>
      </c>
      <c r="P93" s="266">
        <v>9.0755235396566576</v>
      </c>
      <c r="Q93" s="266" t="s">
        <v>188</v>
      </c>
      <c r="R93" s="266">
        <v>2.8115580985972231</v>
      </c>
      <c r="S93" s="266">
        <v>18.358381489999999</v>
      </c>
      <c r="T93" s="265">
        <v>5.49794297117603E-2</v>
      </c>
      <c r="U93" s="265">
        <v>0.19435131842924361</v>
      </c>
      <c r="V93" s="265">
        <v>0.17408014826640639</v>
      </c>
      <c r="W93" s="265" t="s">
        <v>188</v>
      </c>
      <c r="X93" s="265">
        <v>-0.32070878705424632</v>
      </c>
      <c r="Y93" s="265">
        <v>1.3725044400000001E-3</v>
      </c>
      <c r="Z93" s="265">
        <v>1.372504440000033E-3</v>
      </c>
      <c r="AA93" s="265">
        <v>-3.8289694564948729E-3</v>
      </c>
    </row>
    <row r="94" spans="1:27" ht="14" customHeight="1">
      <c r="A94" s="264" t="s">
        <v>748</v>
      </c>
      <c r="B94" s="81">
        <v>16</v>
      </c>
      <c r="C94" s="265">
        <v>2.2726875000000001E-2</v>
      </c>
      <c r="D94" s="265">
        <v>0.174514903207559</v>
      </c>
      <c r="E94" s="265">
        <v>6.6260313285459504E-2</v>
      </c>
      <c r="F94" s="265">
        <v>0.14428730128825629</v>
      </c>
      <c r="G94" s="266">
        <v>0.18968841681761511</v>
      </c>
      <c r="H94" s="266">
        <v>0.28392773900000001</v>
      </c>
      <c r="I94" s="265">
        <v>3.3964242428000002E-2</v>
      </c>
      <c r="J94" s="265">
        <v>0.13112592200000001</v>
      </c>
      <c r="K94" s="265">
        <v>2.7199999999999998E-2</v>
      </c>
      <c r="L94" s="265">
        <v>0.40100144115145209</v>
      </c>
      <c r="M94" s="265">
        <v>2.8524961666244329E-2</v>
      </c>
      <c r="N94" s="266">
        <v>0.4429406176759636</v>
      </c>
      <c r="O94" s="266">
        <v>4.260403797139058</v>
      </c>
      <c r="P94" s="266">
        <v>14.12554370209789</v>
      </c>
      <c r="Q94" s="266">
        <v>24.650859005124381</v>
      </c>
      <c r="R94" s="266">
        <v>2.1082188902046468</v>
      </c>
      <c r="S94" s="266">
        <v>23.721141469999999</v>
      </c>
      <c r="T94" s="265">
        <v>4.1836199651681782E-2</v>
      </c>
      <c r="U94" s="265">
        <v>0.2757063007677103</v>
      </c>
      <c r="V94" s="265">
        <v>0.26668633284411009</v>
      </c>
      <c r="W94" s="265">
        <v>1.8550903109476931</v>
      </c>
      <c r="X94" s="265">
        <v>0.11067375706070939</v>
      </c>
      <c r="Y94" s="265">
        <v>0.75431255795418839</v>
      </c>
      <c r="Z94" s="265">
        <v>0.75431255795418839</v>
      </c>
      <c r="AA94" s="265">
        <v>0.17282983105186769</v>
      </c>
    </row>
    <row r="95" spans="1:27" ht="14" customHeight="1">
      <c r="A95" s="264" t="s">
        <v>749</v>
      </c>
      <c r="B95" s="81">
        <v>17</v>
      </c>
      <c r="C95" s="265">
        <v>7.5408181820000003E-2</v>
      </c>
      <c r="D95" s="265">
        <v>0.30255550440031609</v>
      </c>
      <c r="E95" s="265">
        <v>7.8666524491736861E-2</v>
      </c>
      <c r="F95" s="265">
        <v>0.2225868239711235</v>
      </c>
      <c r="G95" s="266">
        <v>0.56532125712405057</v>
      </c>
      <c r="H95" s="266">
        <v>0.68451251499999999</v>
      </c>
      <c r="I95" s="265">
        <v>5.4794650780000002E-2</v>
      </c>
      <c r="J95" s="265">
        <v>0.17880521899999999</v>
      </c>
      <c r="K95" s="265">
        <v>2.7199999999999998E-2</v>
      </c>
      <c r="L95" s="265">
        <v>0.26337867376499552</v>
      </c>
      <c r="M95" s="265">
        <v>4.5735833272953427E-2</v>
      </c>
      <c r="N95" s="266">
        <v>0.29039877001281572</v>
      </c>
      <c r="O95" s="266">
        <v>8.8292373822898451</v>
      </c>
      <c r="P95" s="266">
        <v>19.01867457668871</v>
      </c>
      <c r="Q95" s="266">
        <v>29.100436380042851</v>
      </c>
      <c r="R95" s="266">
        <v>3.3433264424965641</v>
      </c>
      <c r="S95" s="266">
        <v>48.129085619999998</v>
      </c>
      <c r="T95" s="265">
        <v>7.2291043047607959E-2</v>
      </c>
      <c r="U95" s="265">
        <v>0.44820326613388672</v>
      </c>
      <c r="V95" s="265">
        <v>0.32209912663576068</v>
      </c>
      <c r="W95" s="265">
        <v>1.330458293647536</v>
      </c>
      <c r="X95" s="265">
        <v>0.13629141248388371</v>
      </c>
      <c r="Y95" s="265">
        <v>0.66601288720866714</v>
      </c>
      <c r="Z95" s="265">
        <v>0.45969159501295331</v>
      </c>
      <c r="AA95" s="265">
        <v>0.30102813336286788</v>
      </c>
    </row>
    <row r="96" spans="1:27" ht="14" customHeight="1">
      <c r="A96" s="264" t="s">
        <v>750</v>
      </c>
      <c r="B96" s="81">
        <v>7053</v>
      </c>
      <c r="C96" s="265">
        <v>0.1014813299804416</v>
      </c>
      <c r="D96" s="265">
        <v>0.1070115822905031</v>
      </c>
      <c r="E96" s="265">
        <v>7.3147249799461342E-2</v>
      </c>
      <c r="F96" s="265">
        <v>0.18570906112791399</v>
      </c>
      <c r="G96" s="266">
        <v>0.82945377331839676</v>
      </c>
      <c r="H96" s="266">
        <v>1.1288402320474931</v>
      </c>
      <c r="I96" s="265">
        <v>7.7899692066469628E-2</v>
      </c>
      <c r="J96" s="265">
        <v>0.42356417983731631</v>
      </c>
      <c r="K96" s="265">
        <v>3.6700000000000003E-2</v>
      </c>
      <c r="L96" s="265">
        <v>0.36710501618937691</v>
      </c>
      <c r="M96" s="265">
        <v>5.9406889919873418E-2</v>
      </c>
      <c r="N96" s="266">
        <v>0.72857839191198848</v>
      </c>
      <c r="O96" s="266">
        <v>3.1581204968108931</v>
      </c>
      <c r="P96" s="266">
        <v>17.540124294539211</v>
      </c>
      <c r="Q96" s="266">
        <v>28.988607481375361</v>
      </c>
      <c r="R96" s="266">
        <v>3.2138465226851749</v>
      </c>
      <c r="S96" s="266">
        <v>70.851491325286148</v>
      </c>
      <c r="T96" s="265">
        <v>-0.23201585849682019</v>
      </c>
      <c r="U96" s="265">
        <v>6.1494386400295212E-2</v>
      </c>
      <c r="V96" s="265">
        <v>5.1788077362204282E-2</v>
      </c>
      <c r="W96" s="265">
        <v>0.6564752998258252</v>
      </c>
      <c r="X96" s="265">
        <v>0.13629141248388371</v>
      </c>
      <c r="Y96" s="265">
        <v>0.45969159501295331</v>
      </c>
      <c r="Z96" s="265">
        <v>0.45969159501295331</v>
      </c>
      <c r="AA96" s="265">
        <v>0.1081394539050665</v>
      </c>
    </row>
    <row r="97" spans="1:27" ht="14" customHeight="1">
      <c r="A97" s="264" t="s">
        <v>751</v>
      </c>
      <c r="B97" s="81">
        <v>5878</v>
      </c>
      <c r="C97" s="265">
        <v>0.1052582360750042</v>
      </c>
      <c r="D97" s="265">
        <v>0.1115385458217422</v>
      </c>
      <c r="E97" s="265">
        <v>0.1295891370881303</v>
      </c>
      <c r="F97" s="265">
        <v>0.1842797647506812</v>
      </c>
      <c r="G97" s="266">
        <v>1.0124816766847791</v>
      </c>
      <c r="H97" s="266">
        <v>1.2095280307482079</v>
      </c>
      <c r="I97" s="265">
        <v>8.209545759890681E-2</v>
      </c>
      <c r="J97" s="265">
        <v>0.46406094208005988</v>
      </c>
      <c r="K97" s="265">
        <v>3.6700000000000003E-2</v>
      </c>
      <c r="L97" s="265">
        <v>0.2401479895000754</v>
      </c>
      <c r="M97" s="265">
        <v>6.8990471920430216E-2</v>
      </c>
      <c r="N97" s="266">
        <v>1.2166794125498881</v>
      </c>
      <c r="O97" s="266">
        <v>2.6248237541350909</v>
      </c>
      <c r="P97" s="266">
        <v>13.754137505494381</v>
      </c>
      <c r="Q97" s="266">
        <v>22.97331985635978</v>
      </c>
      <c r="R97" s="266">
        <v>3.885234521085315</v>
      </c>
      <c r="S97" s="266">
        <v>76.832760518227843</v>
      </c>
      <c r="T97" s="265">
        <v>8.9063317061008812E-2</v>
      </c>
      <c r="U97" s="265">
        <v>6.4849930589595622E-2</v>
      </c>
      <c r="V97" s="265">
        <v>5.3881297159909539E-2</v>
      </c>
      <c r="W97" s="265">
        <v>0.66822293796341536</v>
      </c>
      <c r="X97" s="265">
        <v>0.13296367535500789</v>
      </c>
      <c r="Y97" s="265">
        <v>0.52417773613914176</v>
      </c>
      <c r="Z97" s="265">
        <v>0.52417773613914176</v>
      </c>
      <c r="AA97" s="265">
        <v>0.1129217974206744</v>
      </c>
    </row>
  </sheetData>
  <pageMargins left="0.75" right="0.75" top="1" bottom="1" header="0.5" footer="0.5"/>
  <pageSetup orientation="portrait" horizontalDpi="4294967292" verticalDpi="429496729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7"/>
  <sheetViews>
    <sheetView workbookViewId="0"/>
  </sheetViews>
  <sheetFormatPr baseColWidth="10" defaultRowHeight="13"/>
  <cols>
    <col min="1" max="1" width="20.33203125" bestFit="1" customWidth="1"/>
    <col min="2" max="2" width="11.5" bestFit="1" customWidth="1"/>
    <col min="3" max="3" width="9.5" bestFit="1" customWidth="1"/>
    <col min="4" max="4" width="11.83203125" bestFit="1" customWidth="1"/>
    <col min="5" max="5" width="12.5" customWidth="1"/>
    <col min="6" max="6" width="10.5" bestFit="1" customWidth="1"/>
    <col min="7" max="7" width="11.5" bestFit="1" customWidth="1"/>
    <col min="8" max="8" width="22.5" bestFit="1" customWidth="1"/>
  </cols>
  <sheetData>
    <row r="1" spans="1:27" s="135" customFormat="1" ht="84" customHeight="1">
      <c r="A1" s="261" t="s">
        <v>636</v>
      </c>
      <c r="B1" s="135" t="s">
        <v>637</v>
      </c>
      <c r="C1" s="262" t="s">
        <v>638</v>
      </c>
      <c r="D1" s="262" t="s">
        <v>639</v>
      </c>
      <c r="E1" s="262" t="s">
        <v>640</v>
      </c>
      <c r="F1" s="135" t="s">
        <v>641</v>
      </c>
      <c r="G1" s="135" t="s">
        <v>371</v>
      </c>
      <c r="H1" s="135" t="s">
        <v>642</v>
      </c>
      <c r="I1" s="135" t="s">
        <v>643</v>
      </c>
      <c r="J1" s="135" t="s">
        <v>644</v>
      </c>
      <c r="K1" s="135" t="s">
        <v>645</v>
      </c>
      <c r="L1" s="135" t="s">
        <v>646</v>
      </c>
      <c r="M1" s="135" t="s">
        <v>122</v>
      </c>
      <c r="N1" s="263" t="s">
        <v>647</v>
      </c>
      <c r="O1" s="135" t="s">
        <v>369</v>
      </c>
      <c r="P1" s="135" t="s">
        <v>648</v>
      </c>
      <c r="Q1" s="135" t="s">
        <v>649</v>
      </c>
      <c r="R1" s="135" t="s">
        <v>650</v>
      </c>
      <c r="S1" s="135" t="s">
        <v>651</v>
      </c>
      <c r="T1" s="135" t="s">
        <v>652</v>
      </c>
      <c r="U1" s="135" t="s">
        <v>653</v>
      </c>
      <c r="V1" s="135" t="s">
        <v>654</v>
      </c>
      <c r="W1" s="135" t="s">
        <v>655</v>
      </c>
      <c r="X1" s="261" t="s">
        <v>656</v>
      </c>
      <c r="Y1" s="261" t="s">
        <v>657</v>
      </c>
      <c r="Z1" s="261" t="s">
        <v>658</v>
      </c>
      <c r="AA1" s="135" t="s">
        <v>659</v>
      </c>
    </row>
    <row r="2" spans="1:27" s="186" customFormat="1">
      <c r="A2" s="264" t="s">
        <v>373</v>
      </c>
      <c r="B2" s="81">
        <v>312</v>
      </c>
      <c r="C2" s="265">
        <v>9.0853297872340408E-2</v>
      </c>
      <c r="D2" s="265">
        <v>8.7331414405633273E-2</v>
      </c>
      <c r="E2" s="265">
        <v>0.20101704822718991</v>
      </c>
      <c r="F2" s="265">
        <v>0.26806873155806149</v>
      </c>
      <c r="G2" s="266">
        <v>0.9574823050721607</v>
      </c>
      <c r="H2" s="266">
        <v>1.1839688309132621</v>
      </c>
      <c r="I2" s="265">
        <v>9.2369273750439559E-2</v>
      </c>
      <c r="J2" s="265">
        <v>0.46385203813677728</v>
      </c>
      <c r="K2" s="265">
        <v>4.4999999999999998E-2</v>
      </c>
      <c r="L2" s="265">
        <v>0.3305111645602955</v>
      </c>
      <c r="M2" s="265">
        <v>7.2890838300666533E-2</v>
      </c>
      <c r="N2" s="266">
        <v>2.6407069240408272</v>
      </c>
      <c r="O2" s="266">
        <v>1.7079673907574979</v>
      </c>
      <c r="P2" s="266">
        <v>11.101104372538041</v>
      </c>
      <c r="Q2" s="266">
        <v>18.32173867206054</v>
      </c>
      <c r="R2" s="266">
        <v>2.202408324270789</v>
      </c>
      <c r="S2" s="266">
        <v>66.321121074257832</v>
      </c>
      <c r="T2" s="265">
        <v>-2.4289824659392719E-2</v>
      </c>
      <c r="U2" s="265">
        <v>2.0601199490811101E-2</v>
      </c>
      <c r="V2" s="265">
        <v>3.0900017458118129E-2</v>
      </c>
      <c r="W2" s="265">
        <v>0.54245284883728961</v>
      </c>
      <c r="X2" s="265">
        <v>7.3274052636677009E-2</v>
      </c>
      <c r="Y2" s="265">
        <v>0.78461355112403619</v>
      </c>
      <c r="Z2" s="265">
        <v>0.78461355112403619</v>
      </c>
      <c r="AA2" s="267">
        <v>9.0882430396514044E-2</v>
      </c>
    </row>
    <row r="3" spans="1:27" s="186" customFormat="1">
      <c r="A3" s="264" t="s">
        <v>660</v>
      </c>
      <c r="B3" s="81">
        <v>238</v>
      </c>
      <c r="C3" s="265">
        <v>8.0425471698113191E-2</v>
      </c>
      <c r="D3" s="265">
        <v>9.6012685903739625E-2</v>
      </c>
      <c r="E3" s="265">
        <v>0.2164884539748258</v>
      </c>
      <c r="F3" s="265">
        <v>0.20491967141919559</v>
      </c>
      <c r="G3" s="266">
        <v>1.0534298484987921</v>
      </c>
      <c r="H3" s="266">
        <v>1.1848692174836351</v>
      </c>
      <c r="I3" s="265">
        <v>9.2424917640488671E-2</v>
      </c>
      <c r="J3" s="265">
        <v>0.37020092658230369</v>
      </c>
      <c r="K3" s="265">
        <v>4.0999999999999988E-2</v>
      </c>
      <c r="L3" s="265">
        <v>0.19762076353428129</v>
      </c>
      <c r="M3" s="265">
        <v>8.0179956166327032E-2</v>
      </c>
      <c r="N3" s="266">
        <v>2.4864248623309089</v>
      </c>
      <c r="O3" s="266">
        <v>1.9994063003954541</v>
      </c>
      <c r="P3" s="266">
        <v>14.68826915553908</v>
      </c>
      <c r="Q3" s="266">
        <v>20.693379200468129</v>
      </c>
      <c r="R3" s="266">
        <v>5.1899621702042307</v>
      </c>
      <c r="S3" s="266">
        <v>43.887953564195179</v>
      </c>
      <c r="T3" s="265">
        <v>0.33337306015853052</v>
      </c>
      <c r="U3" s="265">
        <v>3.2796078999439662E-2</v>
      </c>
      <c r="V3" s="265">
        <v>4.8135674000098001E-2</v>
      </c>
      <c r="W3" s="265">
        <v>1.0478815222052289</v>
      </c>
      <c r="X3" s="265">
        <v>0.220348132128799</v>
      </c>
      <c r="Y3" s="265">
        <v>0.45339682635420131</v>
      </c>
      <c r="Z3" s="265">
        <v>0.45339682635420131</v>
      </c>
      <c r="AA3" s="267">
        <v>9.7997451123471177E-2</v>
      </c>
    </row>
    <row r="4" spans="1:27" s="186" customFormat="1">
      <c r="A4" s="264" t="s">
        <v>661</v>
      </c>
      <c r="B4" s="81">
        <v>159</v>
      </c>
      <c r="C4" s="265">
        <v>7.1375284552845517E-2</v>
      </c>
      <c r="D4" s="265">
        <v>8.4610194934889749E-2</v>
      </c>
      <c r="E4" s="265">
        <v>6.6443855479009273E-2</v>
      </c>
      <c r="F4" s="265">
        <v>0.22115600561855381</v>
      </c>
      <c r="G4" s="266">
        <v>0.65156730342361191</v>
      </c>
      <c r="H4" s="266">
        <v>1.0957907429349241</v>
      </c>
      <c r="I4" s="265">
        <v>8.6919867913378315E-2</v>
      </c>
      <c r="J4" s="265">
        <v>0.30606046834365702</v>
      </c>
      <c r="K4" s="265">
        <v>4.0999999999999988E-2</v>
      </c>
      <c r="L4" s="265">
        <v>0.51582091028651322</v>
      </c>
      <c r="M4" s="265">
        <v>5.7798234914374073E-2</v>
      </c>
      <c r="N4" s="266">
        <v>1.013441077693368</v>
      </c>
      <c r="O4" s="266">
        <v>1.6360056019638629</v>
      </c>
      <c r="P4" s="266">
        <v>8.1587338960305864</v>
      </c>
      <c r="Q4" s="266">
        <v>20.907837424150738</v>
      </c>
      <c r="R4" s="266">
        <v>2.0030856022467338</v>
      </c>
      <c r="S4" s="266">
        <v>21.684201294387499</v>
      </c>
      <c r="T4" s="265">
        <v>-2.923255515634731E-2</v>
      </c>
      <c r="U4" s="265">
        <v>0.1122262380137372</v>
      </c>
      <c r="V4" s="265">
        <v>4.4020172300614759E-2</v>
      </c>
      <c r="W4" s="265">
        <v>0.71866660140042438</v>
      </c>
      <c r="X4" s="265">
        <v>0.1174056151054105</v>
      </c>
      <c r="Y4" s="265">
        <v>0.43618719738591238</v>
      </c>
      <c r="Z4" s="265">
        <v>0.43618719738591238</v>
      </c>
      <c r="AA4" s="267">
        <v>7.8112529437793787E-2</v>
      </c>
    </row>
    <row r="5" spans="1:27" s="186" customFormat="1">
      <c r="A5" s="264" t="s">
        <v>662</v>
      </c>
      <c r="B5" s="81">
        <v>1161</v>
      </c>
      <c r="C5" s="265">
        <v>8.9962093862815777E-3</v>
      </c>
      <c r="D5" s="265">
        <v>0.1153753743451137</v>
      </c>
      <c r="E5" s="265">
        <v>0.15089152980915199</v>
      </c>
      <c r="F5" s="265">
        <v>0.25121952050757201</v>
      </c>
      <c r="G5" s="266">
        <v>0.70037497107728708</v>
      </c>
      <c r="H5" s="266">
        <v>0.80237630056452758</v>
      </c>
      <c r="I5" s="265">
        <v>6.8786855374887809E-2</v>
      </c>
      <c r="J5" s="265">
        <v>0.36299252466639392</v>
      </c>
      <c r="K5" s="265">
        <v>4.0999999999999988E-2</v>
      </c>
      <c r="L5" s="265">
        <v>0.21661123392763409</v>
      </c>
      <c r="M5" s="265">
        <v>6.0485477773269167E-2</v>
      </c>
      <c r="N5" s="266">
        <v>1.484601906926226</v>
      </c>
      <c r="O5" s="266">
        <v>2.3043268257635319</v>
      </c>
      <c r="P5" s="266">
        <v>12.577531505262369</v>
      </c>
      <c r="Q5" s="266">
        <v>19.054421182813531</v>
      </c>
      <c r="R5" s="266">
        <v>3.0106584864443282</v>
      </c>
      <c r="S5" s="266">
        <v>31.981182900709921</v>
      </c>
      <c r="T5" s="265">
        <v>0.2284917561088215</v>
      </c>
      <c r="U5" s="265">
        <v>4.3217168060746228E-2</v>
      </c>
      <c r="V5" s="265">
        <v>2.8151921020307939E-2</v>
      </c>
      <c r="W5" s="265">
        <v>0.57360139611911432</v>
      </c>
      <c r="X5" s="265">
        <v>0.1186054043972526</v>
      </c>
      <c r="Y5" s="265">
        <v>0.53159494866975709</v>
      </c>
      <c r="Z5" s="265">
        <v>0.53159494866975709</v>
      </c>
      <c r="AA5" s="267">
        <v>0.11903078219108081</v>
      </c>
    </row>
    <row r="6" spans="1:27" s="186" customFormat="1">
      <c r="A6" s="264" t="s">
        <v>663</v>
      </c>
      <c r="B6" s="81">
        <v>134</v>
      </c>
      <c r="C6" s="265">
        <v>4.9735151515151517E-2</v>
      </c>
      <c r="D6" s="265">
        <v>4.7862416234419683E-2</v>
      </c>
      <c r="E6" s="265">
        <v>4.5965789058890587E-2</v>
      </c>
      <c r="F6" s="265">
        <v>0.22322622509907261</v>
      </c>
      <c r="G6" s="266">
        <v>0.8540589604698049</v>
      </c>
      <c r="H6" s="266">
        <v>1.374295523019373</v>
      </c>
      <c r="I6" s="265">
        <v>0.1041314633225973</v>
      </c>
      <c r="J6" s="265">
        <v>0.33624173982581929</v>
      </c>
      <c r="K6" s="265">
        <v>4.0999999999999988E-2</v>
      </c>
      <c r="L6" s="265">
        <v>0.5344225731023865</v>
      </c>
      <c r="M6" s="265">
        <v>6.4761373597236049E-2</v>
      </c>
      <c r="N6" s="266">
        <v>1.055672766546544</v>
      </c>
      <c r="O6" s="266">
        <v>0.90440478943336056</v>
      </c>
      <c r="P6" s="266">
        <v>9.8085932093861761</v>
      </c>
      <c r="Q6" s="266">
        <v>18.370487288286331</v>
      </c>
      <c r="R6" s="266">
        <v>1.0299668702548079</v>
      </c>
      <c r="S6" s="266">
        <v>35.27597818343606</v>
      </c>
      <c r="T6" s="265">
        <v>4.6305792749159427E-2</v>
      </c>
      <c r="U6" s="265">
        <v>6.9972380590299518E-2</v>
      </c>
      <c r="V6" s="265">
        <v>4.1323432321642983E-2</v>
      </c>
      <c r="W6" s="265">
        <v>1.320317796063825</v>
      </c>
      <c r="X6" s="265">
        <v>8.5457892431747354E-2</v>
      </c>
      <c r="Y6" s="265">
        <v>0.45196954382654803</v>
      </c>
      <c r="Z6" s="265">
        <v>0.45196954382654803</v>
      </c>
      <c r="AA6" s="267">
        <v>5.0077332314572377E-2</v>
      </c>
    </row>
    <row r="7" spans="1:27" s="186" customFormat="1">
      <c r="A7" s="264" t="s">
        <v>664</v>
      </c>
      <c r="B7" s="81">
        <v>682</v>
      </c>
      <c r="C7" s="265">
        <v>5.2775525291828787E-2</v>
      </c>
      <c r="D7" s="265">
        <v>5.3394784985049681E-2</v>
      </c>
      <c r="E7" s="265">
        <v>7.4587928808253032E-2</v>
      </c>
      <c r="F7" s="265">
        <v>0.2603309630322867</v>
      </c>
      <c r="G7" s="266">
        <v>1.11142337769582</v>
      </c>
      <c r="H7" s="266">
        <v>1.261157981523547</v>
      </c>
      <c r="I7" s="265">
        <v>9.7139563258155232E-2</v>
      </c>
      <c r="J7" s="265">
        <v>0.34674471803551221</v>
      </c>
      <c r="K7" s="265">
        <v>4.0999999999999988E-2</v>
      </c>
      <c r="L7" s="265">
        <v>0.28105279897076968</v>
      </c>
      <c r="M7" s="265">
        <v>7.839992852869912E-2</v>
      </c>
      <c r="N7" s="266">
        <v>1.6247038288899669</v>
      </c>
      <c r="O7" s="266">
        <v>0.75175956694092927</v>
      </c>
      <c r="P7" s="266">
        <v>7.077359923526803</v>
      </c>
      <c r="Q7" s="266">
        <v>13.608401866439049</v>
      </c>
      <c r="R7" s="266">
        <v>1.2909493102437011</v>
      </c>
      <c r="S7" s="266">
        <v>36.515649695787921</v>
      </c>
      <c r="T7" s="265">
        <v>0.1153753794320915</v>
      </c>
      <c r="U7" s="265">
        <v>6.1766595028828988E-2</v>
      </c>
      <c r="V7" s="265">
        <v>5.1671642279973763E-2</v>
      </c>
      <c r="W7" s="265">
        <v>1.431779014715836</v>
      </c>
      <c r="X7" s="265">
        <v>6.958721648962074E-2</v>
      </c>
      <c r="Y7" s="265">
        <v>0.48312163244497941</v>
      </c>
      <c r="Z7" s="265">
        <v>0.48312163244497941</v>
      </c>
      <c r="AA7" s="267">
        <v>5.5306825380002228E-2</v>
      </c>
    </row>
    <row r="8" spans="1:27" s="186" customFormat="1">
      <c r="A8" s="264" t="s">
        <v>665</v>
      </c>
      <c r="B8" s="81">
        <v>595</v>
      </c>
      <c r="C8" s="265">
        <v>0.16391207293666021</v>
      </c>
      <c r="D8" s="265">
        <v>1.1539329983969099E-3</v>
      </c>
      <c r="E8" s="265">
        <v>1.7787923185311511E-4</v>
      </c>
      <c r="F8" s="265">
        <v>0.19571889199278611</v>
      </c>
      <c r="G8" s="266">
        <v>0.40180142660318718</v>
      </c>
      <c r="H8" s="266">
        <v>0.80733099014050325</v>
      </c>
      <c r="I8" s="265">
        <v>6.9093055190683095E-2</v>
      </c>
      <c r="J8" s="265">
        <v>0.2253658833963936</v>
      </c>
      <c r="K8" s="265">
        <v>3.5499999999999997E-2</v>
      </c>
      <c r="L8" s="265">
        <v>0.71140009887871924</v>
      </c>
      <c r="M8" s="265">
        <v>3.8704493604272867E-2</v>
      </c>
      <c r="N8" s="266">
        <v>0.13895886488968301</v>
      </c>
      <c r="O8" s="266">
        <v>7.6175194213169597</v>
      </c>
      <c r="P8" s="266" t="s">
        <v>188</v>
      </c>
      <c r="Q8" s="266" t="s">
        <v>188</v>
      </c>
      <c r="R8" s="266">
        <v>0.94314131554090919</v>
      </c>
      <c r="S8" s="266">
        <v>14.377634669665539</v>
      </c>
      <c r="T8" s="265" t="s">
        <v>188</v>
      </c>
      <c r="U8" s="265">
        <v>3.6181719580776553E-2</v>
      </c>
      <c r="V8" s="265">
        <v>3.3580671985913219E-2</v>
      </c>
      <c r="W8" s="265">
        <v>32.400426834373953</v>
      </c>
      <c r="X8" s="265">
        <v>0.10935713254419541</v>
      </c>
      <c r="Y8" s="265">
        <v>0.35448740653823119</v>
      </c>
      <c r="Z8" s="265">
        <v>0.3544874065382313</v>
      </c>
      <c r="AA8" s="267">
        <v>1.616663555740492E-3</v>
      </c>
    </row>
    <row r="9" spans="1:27" s="186" customFormat="1">
      <c r="A9" s="264" t="s">
        <v>666</v>
      </c>
      <c r="B9" s="81">
        <v>862</v>
      </c>
      <c r="C9" s="265">
        <v>8.3658398744113016E-2</v>
      </c>
      <c r="D9" s="265">
        <v>-2.0999492652257499E-4</v>
      </c>
      <c r="E9" s="265">
        <v>-2.0132545711330541E-4</v>
      </c>
      <c r="F9" s="265">
        <v>0.1827660040697128</v>
      </c>
      <c r="G9" s="266">
        <v>0.46490532394693229</v>
      </c>
      <c r="H9" s="266">
        <v>0.63349483957776143</v>
      </c>
      <c r="I9" s="265">
        <v>5.8349981085905653E-2</v>
      </c>
      <c r="J9" s="265">
        <v>0.19975964450888789</v>
      </c>
      <c r="K9" s="265">
        <v>3.5499999999999997E-2</v>
      </c>
      <c r="L9" s="265">
        <v>0.60954601590469837</v>
      </c>
      <c r="M9" s="265">
        <v>3.8860673075387632E-2</v>
      </c>
      <c r="N9" s="266">
        <v>0.21360857037803949</v>
      </c>
      <c r="O9" s="266">
        <v>4.9043372902603872</v>
      </c>
      <c r="P9" s="266" t="s">
        <v>188</v>
      </c>
      <c r="Q9" s="266" t="s">
        <v>188</v>
      </c>
      <c r="R9" s="266">
        <v>0.7205189715950423</v>
      </c>
      <c r="S9" s="266">
        <v>14.93154877288136</v>
      </c>
      <c r="T9" s="265" t="s">
        <v>188</v>
      </c>
      <c r="U9" s="265">
        <v>3.3203486375197711E-2</v>
      </c>
      <c r="V9" s="265">
        <v>1.782090658975392E-2</v>
      </c>
      <c r="W9" s="265" t="s">
        <v>188</v>
      </c>
      <c r="X9" s="265">
        <v>0.10913620473429569</v>
      </c>
      <c r="Y9" s="265">
        <v>0.2578294478567224</v>
      </c>
      <c r="Z9" s="265">
        <v>0.25782944785672252</v>
      </c>
      <c r="AA9" s="267">
        <v>-1.15916151880788E-3</v>
      </c>
    </row>
    <row r="10" spans="1:27" s="186" customFormat="1">
      <c r="A10" s="264" t="s">
        <v>667</v>
      </c>
      <c r="B10" s="81">
        <v>216</v>
      </c>
      <c r="C10" s="265">
        <v>9.2645568862275457E-2</v>
      </c>
      <c r="D10" s="265">
        <v>0.21599540019495089</v>
      </c>
      <c r="E10" s="265">
        <v>0.13242693358909419</v>
      </c>
      <c r="F10" s="265">
        <v>0.24569440630159281</v>
      </c>
      <c r="G10" s="266">
        <v>0.80058763776237496</v>
      </c>
      <c r="H10" s="266">
        <v>0.90062721106877486</v>
      </c>
      <c r="I10" s="265">
        <v>7.4858761644050281E-2</v>
      </c>
      <c r="J10" s="265">
        <v>0.29171676174419842</v>
      </c>
      <c r="K10" s="265">
        <v>4.0999999999999988E-2</v>
      </c>
      <c r="L10" s="265">
        <v>0.18381703755459911</v>
      </c>
      <c r="M10" s="265">
        <v>6.6698064258660858E-2</v>
      </c>
      <c r="N10" s="266">
        <v>0.74322355121726968</v>
      </c>
      <c r="O10" s="266">
        <v>4.2692023001292423</v>
      </c>
      <c r="P10" s="266">
        <v>15.53992468003066</v>
      </c>
      <c r="Q10" s="266">
        <v>19.67997758498457</v>
      </c>
      <c r="R10" s="266">
        <v>3.6411998194765491</v>
      </c>
      <c r="S10" s="266">
        <v>32.858283647172073</v>
      </c>
      <c r="T10" s="265">
        <v>8.6969934049277525E-2</v>
      </c>
      <c r="U10" s="265">
        <v>4.9205534000273658E-2</v>
      </c>
      <c r="V10" s="265">
        <v>1.4099787924149929E-2</v>
      </c>
      <c r="W10" s="265">
        <v>0.13517675215987651</v>
      </c>
      <c r="X10" s="265">
        <v>0.15402255270124901</v>
      </c>
      <c r="Y10" s="265">
        <v>0.45163856248188189</v>
      </c>
      <c r="Z10" s="265">
        <v>0.45163856248188189</v>
      </c>
      <c r="AA10" s="267">
        <v>0.21631758054525271</v>
      </c>
    </row>
    <row r="11" spans="1:27" s="186" customFormat="1">
      <c r="A11" s="264" t="s">
        <v>668</v>
      </c>
      <c r="B11" s="81">
        <v>94</v>
      </c>
      <c r="C11" s="265">
        <v>9.9020172413793101E-2</v>
      </c>
      <c r="D11" s="265">
        <v>0.16033476447819081</v>
      </c>
      <c r="E11" s="265">
        <v>0.20208102763037</v>
      </c>
      <c r="F11" s="265">
        <v>0.12975927843384169</v>
      </c>
      <c r="G11" s="266">
        <v>0.70928932182368287</v>
      </c>
      <c r="H11" s="266">
        <v>0.79248222352769671</v>
      </c>
      <c r="I11" s="265">
        <v>6.8175401414011655E-2</v>
      </c>
      <c r="J11" s="265">
        <v>0.34377050760977063</v>
      </c>
      <c r="K11" s="265">
        <v>4.0999999999999988E-2</v>
      </c>
      <c r="L11" s="265">
        <v>0.17028713728204811</v>
      </c>
      <c r="M11" s="265">
        <v>6.1753464537188149E-2</v>
      </c>
      <c r="N11" s="266">
        <v>1.400232547157348</v>
      </c>
      <c r="O11" s="266">
        <v>3.6439942262724339</v>
      </c>
      <c r="P11" s="266">
        <v>17.58305053940677</v>
      </c>
      <c r="Q11" s="266">
        <v>22.490351301429079</v>
      </c>
      <c r="R11" s="266">
        <v>5.781070411883392</v>
      </c>
      <c r="S11" s="266">
        <v>72.475505850832775</v>
      </c>
      <c r="T11" s="265">
        <v>-4.4189406869957162E-2</v>
      </c>
      <c r="U11" s="265">
        <v>4.7074956634442361E-2</v>
      </c>
      <c r="V11" s="265">
        <v>5.5712076030163482E-2</v>
      </c>
      <c r="W11" s="265">
        <v>0.40874945035325838</v>
      </c>
      <c r="X11" s="265">
        <v>0.26791701288257069</v>
      </c>
      <c r="Y11" s="265">
        <v>0.58582532008739385</v>
      </c>
      <c r="Z11" s="265">
        <v>0.58582532008739385</v>
      </c>
      <c r="AA11" s="267">
        <v>0.16170375255959871</v>
      </c>
    </row>
    <row r="12" spans="1:27" s="186" customFormat="1">
      <c r="A12" s="264" t="s">
        <v>669</v>
      </c>
      <c r="B12" s="81">
        <v>138</v>
      </c>
      <c r="C12" s="265">
        <v>3.5167232142857129E-2</v>
      </c>
      <c r="D12" s="265">
        <v>0.17158735402363501</v>
      </c>
      <c r="E12" s="265">
        <v>0.1626229074032676</v>
      </c>
      <c r="F12" s="265">
        <v>0.13014759922291119</v>
      </c>
      <c r="G12" s="266">
        <v>0.6852414284825481</v>
      </c>
      <c r="H12" s="266">
        <v>0.96950978182662673</v>
      </c>
      <c r="I12" s="265">
        <v>7.9115704516885529E-2</v>
      </c>
      <c r="J12" s="265">
        <v>0.33687172561261169</v>
      </c>
      <c r="K12" s="265">
        <v>4.0999999999999988E-2</v>
      </c>
      <c r="L12" s="265">
        <v>0.40211387744780652</v>
      </c>
      <c r="M12" s="265">
        <v>5.9551776855278279E-2</v>
      </c>
      <c r="N12" s="266">
        <v>1.1437078690348941</v>
      </c>
      <c r="O12" s="266">
        <v>2.0278938451720738</v>
      </c>
      <c r="P12" s="266">
        <v>8.4554484953510283</v>
      </c>
      <c r="Q12" s="266">
        <v>11.71223306591893</v>
      </c>
      <c r="R12" s="266">
        <v>1.562206679967038</v>
      </c>
      <c r="S12" s="266">
        <v>46.47096233339704</v>
      </c>
      <c r="T12" s="265">
        <v>0.16958953400285609</v>
      </c>
      <c r="U12" s="265">
        <v>3.8138867378366637E-2</v>
      </c>
      <c r="V12" s="265">
        <v>0.14727304591720899</v>
      </c>
      <c r="W12" s="265">
        <v>1.12225329094037</v>
      </c>
      <c r="X12" s="265">
        <v>0.3175833296554515</v>
      </c>
      <c r="Y12" s="265">
        <v>0.42248875642772288</v>
      </c>
      <c r="Z12" s="265">
        <v>0.42248875642772288</v>
      </c>
      <c r="AA12" s="267">
        <v>0.1714786631163755</v>
      </c>
    </row>
    <row r="13" spans="1:27" s="186" customFormat="1">
      <c r="A13" s="264" t="s">
        <v>670</v>
      </c>
      <c r="B13" s="81">
        <v>559</v>
      </c>
      <c r="C13" s="265">
        <v>0.1128461580381471</v>
      </c>
      <c r="D13" s="265">
        <v>9.7523735453045237E-3</v>
      </c>
      <c r="E13" s="265">
        <v>1.4884701262390929E-3</v>
      </c>
      <c r="F13" s="265">
        <v>0.2126223388457418</v>
      </c>
      <c r="G13" s="266">
        <v>0.43664122018957779</v>
      </c>
      <c r="H13" s="266">
        <v>1.0001476218423</v>
      </c>
      <c r="I13" s="265">
        <v>8.1009123029854122E-2</v>
      </c>
      <c r="J13" s="265">
        <v>0.36293297607874708</v>
      </c>
      <c r="K13" s="265">
        <v>4.0999999999999988E-2</v>
      </c>
      <c r="L13" s="265">
        <v>0.68557810995212065</v>
      </c>
      <c r="M13" s="265">
        <v>4.6355807537639383E-2</v>
      </c>
      <c r="N13" s="266">
        <v>0.17511624841374851</v>
      </c>
      <c r="O13" s="266">
        <v>7.1537826922554588</v>
      </c>
      <c r="P13" s="266" t="s">
        <v>188</v>
      </c>
      <c r="Q13" s="266" t="s">
        <v>188</v>
      </c>
      <c r="R13" s="266">
        <v>1.4133318216789379</v>
      </c>
      <c r="S13" s="266">
        <v>60.355961718927979</v>
      </c>
      <c r="T13" s="265" t="s">
        <v>188</v>
      </c>
      <c r="U13" s="265">
        <v>5.3337071201479361E-2</v>
      </c>
      <c r="V13" s="265">
        <v>4.8258159446847401E-2</v>
      </c>
      <c r="W13" s="265">
        <v>-18.767926998976659</v>
      </c>
      <c r="X13" s="265">
        <v>9.0005706946473293E-2</v>
      </c>
      <c r="Y13" s="265">
        <v>0.49319033863537048</v>
      </c>
      <c r="Z13" s="265">
        <v>0.49319033863537048</v>
      </c>
      <c r="AA13" s="267">
        <v>9.9028067343605603E-3</v>
      </c>
    </row>
    <row r="14" spans="1:27" s="186" customFormat="1">
      <c r="A14" s="264" t="s">
        <v>671</v>
      </c>
      <c r="B14" s="81">
        <v>426</v>
      </c>
      <c r="C14" s="265">
        <v>4.9407589285714301E-2</v>
      </c>
      <c r="D14" s="265">
        <v>8.0094527619538558E-2</v>
      </c>
      <c r="E14" s="265">
        <v>0.1072885072738148</v>
      </c>
      <c r="F14" s="265">
        <v>0.26585590727377051</v>
      </c>
      <c r="G14" s="266">
        <v>0.82984986542468753</v>
      </c>
      <c r="H14" s="266">
        <v>0.96478418712930059</v>
      </c>
      <c r="I14" s="265">
        <v>7.8823662764590768E-2</v>
      </c>
      <c r="J14" s="265">
        <v>0.31420147626245698</v>
      </c>
      <c r="K14" s="265">
        <v>4.0999999999999988E-2</v>
      </c>
      <c r="L14" s="265">
        <v>0.2437859355140663</v>
      </c>
      <c r="M14" s="265">
        <v>6.7034013350444732E-2</v>
      </c>
      <c r="N14" s="266">
        <v>1.6006234809146509</v>
      </c>
      <c r="O14" s="266">
        <v>1.4012821515210601</v>
      </c>
      <c r="P14" s="266">
        <v>10.75469390646631</v>
      </c>
      <c r="Q14" s="266">
        <v>16.898736863445201</v>
      </c>
      <c r="R14" s="266">
        <v>2.1453240250192942</v>
      </c>
      <c r="S14" s="266">
        <v>29.192231305064059</v>
      </c>
      <c r="T14" s="265">
        <v>0.1722436903656524</v>
      </c>
      <c r="U14" s="265">
        <v>4.2428885092921372E-2</v>
      </c>
      <c r="V14" s="265">
        <v>3.1719170748827262E-2</v>
      </c>
      <c r="W14" s="265">
        <v>0.66984889779065748</v>
      </c>
      <c r="X14" s="265">
        <v>0.10164853725861191</v>
      </c>
      <c r="Y14" s="265">
        <v>0.38446023773131222</v>
      </c>
      <c r="Z14" s="265">
        <v>0.38446023773131222</v>
      </c>
      <c r="AA14" s="267">
        <v>8.2487300479605979E-2</v>
      </c>
    </row>
    <row r="15" spans="1:27" s="186" customFormat="1">
      <c r="A15" s="264" t="s">
        <v>672</v>
      </c>
      <c r="B15" s="81">
        <v>868</v>
      </c>
      <c r="C15" s="265">
        <v>0.10366239382239389</v>
      </c>
      <c r="D15" s="265">
        <v>8.5678880143802011E-2</v>
      </c>
      <c r="E15" s="265">
        <v>0.18809663617793551</v>
      </c>
      <c r="F15" s="265">
        <v>0.25266819414141228</v>
      </c>
      <c r="G15" s="266">
        <v>0.88042298921519879</v>
      </c>
      <c r="H15" s="266">
        <v>0.99929533543866655</v>
      </c>
      <c r="I15" s="265">
        <v>8.0956451730109596E-2</v>
      </c>
      <c r="J15" s="265">
        <v>0.41490796030630228</v>
      </c>
      <c r="K15" s="265">
        <v>4.4999999999999998E-2</v>
      </c>
      <c r="L15" s="265">
        <v>0.20832888880820871</v>
      </c>
      <c r="M15" s="265">
        <v>7.1056360496622922E-2</v>
      </c>
      <c r="N15" s="266">
        <v>2.5420246959380459</v>
      </c>
      <c r="O15" s="266">
        <v>1.9284260780297839</v>
      </c>
      <c r="P15" s="266">
        <v>9.7326431345141433</v>
      </c>
      <c r="Q15" s="266">
        <v>21.45009348291628</v>
      </c>
      <c r="R15" s="266">
        <v>4.2168964974205778</v>
      </c>
      <c r="S15" s="266">
        <v>44.555716650196729</v>
      </c>
      <c r="T15" s="265">
        <v>9.4600728170872797E-2</v>
      </c>
      <c r="U15" s="265">
        <v>2.856556235204686E-2</v>
      </c>
      <c r="V15" s="265">
        <v>2.03872199362897E-2</v>
      </c>
      <c r="W15" s="265">
        <v>0.43247408100907508</v>
      </c>
      <c r="X15" s="265">
        <v>0.14180964420782671</v>
      </c>
      <c r="Y15" s="265">
        <v>0.51627670543204773</v>
      </c>
      <c r="Z15" s="265">
        <v>0.51627670543204773</v>
      </c>
      <c r="AA15" s="267">
        <v>8.9384913116143452E-2</v>
      </c>
    </row>
    <row r="16" spans="1:27" s="186" customFormat="1">
      <c r="A16" s="264" t="s">
        <v>673</v>
      </c>
      <c r="B16" s="81">
        <v>61</v>
      </c>
      <c r="C16" s="265">
        <v>1.5568292682926831E-2</v>
      </c>
      <c r="D16" s="265">
        <v>0.1669331962096465</v>
      </c>
      <c r="E16" s="265">
        <v>0.1083158500375985</v>
      </c>
      <c r="F16" s="265">
        <v>0.23734087986037769</v>
      </c>
      <c r="G16" s="266">
        <v>0.7910340681937198</v>
      </c>
      <c r="H16" s="266">
        <v>1.1721899981702819</v>
      </c>
      <c r="I16" s="265">
        <v>9.1641341886923425E-2</v>
      </c>
      <c r="J16" s="265">
        <v>0.3068879197961914</v>
      </c>
      <c r="K16" s="265">
        <v>4.0999999999999988E-2</v>
      </c>
      <c r="L16" s="265">
        <v>0.41619597386865642</v>
      </c>
      <c r="M16" s="265">
        <v>6.6179162305625719E-2</v>
      </c>
      <c r="N16" s="266">
        <v>0.75621921945666148</v>
      </c>
      <c r="O16" s="266">
        <v>3.3753893219562259</v>
      </c>
      <c r="P16" s="266">
        <v>9.6579804973482037</v>
      </c>
      <c r="Q16" s="266">
        <v>19.368327197128561</v>
      </c>
      <c r="R16" s="266">
        <v>2.4220436988638512</v>
      </c>
      <c r="S16" s="266">
        <v>39.466433405310767</v>
      </c>
      <c r="T16" s="265">
        <v>1.1150740604818859E-2</v>
      </c>
      <c r="U16" s="265">
        <v>0.1272503365997566</v>
      </c>
      <c r="V16" s="265">
        <v>0.1090932424774593</v>
      </c>
      <c r="W16" s="265">
        <v>0.87161422237567288</v>
      </c>
      <c r="X16" s="265">
        <v>0.19120805271332539</v>
      </c>
      <c r="Y16" s="265">
        <v>0.1658464768637683</v>
      </c>
      <c r="Z16" s="265">
        <v>0.1658464768637683</v>
      </c>
      <c r="AA16" s="267">
        <v>0.1672198046065474</v>
      </c>
    </row>
    <row r="17" spans="1:27" s="186" customFormat="1">
      <c r="A17" s="264" t="s">
        <v>674</v>
      </c>
      <c r="B17" s="81">
        <v>793</v>
      </c>
      <c r="C17" s="265">
        <v>6.4717704626334541E-2</v>
      </c>
      <c r="D17" s="265">
        <v>7.9178350714801338E-2</v>
      </c>
      <c r="E17" s="265">
        <v>7.8372600350287466E-2</v>
      </c>
      <c r="F17" s="265">
        <v>0.2056326152304567</v>
      </c>
      <c r="G17" s="266">
        <v>0.90328601529634722</v>
      </c>
      <c r="H17" s="266">
        <v>1.064906417750896</v>
      </c>
      <c r="I17" s="265">
        <v>8.5011216617005392E-2</v>
      </c>
      <c r="J17" s="265">
        <v>0.32191200321671981</v>
      </c>
      <c r="K17" s="265">
        <v>4.0999999999999988E-2</v>
      </c>
      <c r="L17" s="265">
        <v>0.27912994196409668</v>
      </c>
      <c r="M17" s="265">
        <v>6.9785176078455705E-2</v>
      </c>
      <c r="N17" s="266">
        <v>1.170690364893787</v>
      </c>
      <c r="O17" s="266">
        <v>1.30773818826016</v>
      </c>
      <c r="P17" s="266">
        <v>9.6038566494668771</v>
      </c>
      <c r="Q17" s="266">
        <v>16.075722931095971</v>
      </c>
      <c r="R17" s="266">
        <v>1.491729670781083</v>
      </c>
      <c r="S17" s="266">
        <v>36.379604722572729</v>
      </c>
      <c r="T17" s="265">
        <v>0.1224169452912215</v>
      </c>
      <c r="U17" s="265">
        <v>9.0589549380573953E-2</v>
      </c>
      <c r="V17" s="265">
        <v>6.7058601201706591E-2</v>
      </c>
      <c r="W17" s="265">
        <v>1.174234880034158</v>
      </c>
      <c r="X17" s="265">
        <v>8.1321272183747503E-2</v>
      </c>
      <c r="Y17" s="265">
        <v>0.71029589537083226</v>
      </c>
      <c r="Z17" s="265">
        <v>0.71029589537083226</v>
      </c>
      <c r="AA17" s="267">
        <v>8.0025342070761826E-2</v>
      </c>
    </row>
    <row r="18" spans="1:27" s="186" customFormat="1">
      <c r="A18" s="264" t="s">
        <v>675</v>
      </c>
      <c r="B18" s="81">
        <v>73</v>
      </c>
      <c r="C18" s="265">
        <v>2.7063166666666669E-2</v>
      </c>
      <c r="D18" s="265">
        <v>8.4246190967097553E-2</v>
      </c>
      <c r="E18" s="265">
        <v>7.5483425606338916E-2</v>
      </c>
      <c r="F18" s="265">
        <v>0.24298018056573981</v>
      </c>
      <c r="G18" s="266">
        <v>0.95233454166041598</v>
      </c>
      <c r="H18" s="266">
        <v>1.2175499913522381</v>
      </c>
      <c r="I18" s="265">
        <v>9.4444589465568288E-2</v>
      </c>
      <c r="J18" s="265">
        <v>0.29936460025667871</v>
      </c>
      <c r="K18" s="265">
        <v>4.0999999999999988E-2</v>
      </c>
      <c r="L18" s="265">
        <v>0.32765890329430108</v>
      </c>
      <c r="M18" s="265">
        <v>7.3480452030253982E-2</v>
      </c>
      <c r="N18" s="266">
        <v>1.0793672526640119</v>
      </c>
      <c r="O18" s="266">
        <v>1.2115414477871751</v>
      </c>
      <c r="P18" s="266">
        <v>8.1869192302391447</v>
      </c>
      <c r="Q18" s="266">
        <v>14.18943776561057</v>
      </c>
      <c r="R18" s="266">
        <v>1.298477232777101</v>
      </c>
      <c r="S18" s="266">
        <v>19.540681857336409</v>
      </c>
      <c r="T18" s="265">
        <v>0.18889026147159821</v>
      </c>
      <c r="U18" s="265">
        <v>7.7555120655428023E-2</v>
      </c>
      <c r="V18" s="265">
        <v>6.0408563278277642E-2</v>
      </c>
      <c r="W18" s="265">
        <v>1.0920311545047261</v>
      </c>
      <c r="X18" s="265">
        <v>0.125153005899687</v>
      </c>
      <c r="Y18" s="265">
        <v>0.40967041047200581</v>
      </c>
      <c r="Z18" s="265">
        <v>0.40967041047200581</v>
      </c>
      <c r="AA18" s="267">
        <v>8.5962368250124405E-2</v>
      </c>
    </row>
    <row r="19" spans="1:27" s="186" customFormat="1">
      <c r="A19" s="264" t="s">
        <v>676</v>
      </c>
      <c r="B19" s="81">
        <v>829</v>
      </c>
      <c r="C19" s="265">
        <v>7.5465405904059008E-2</v>
      </c>
      <c r="D19" s="265">
        <v>0.1067577370141852</v>
      </c>
      <c r="E19" s="265">
        <v>0.1075670193427004</v>
      </c>
      <c r="F19" s="265">
        <v>0.22760867897224121</v>
      </c>
      <c r="G19" s="266">
        <v>0.98189410767387886</v>
      </c>
      <c r="H19" s="266">
        <v>1.1171285033176519</v>
      </c>
      <c r="I19" s="265">
        <v>8.8238541505030868E-2</v>
      </c>
      <c r="J19" s="265">
        <v>0.36680066004548012</v>
      </c>
      <c r="K19" s="265">
        <v>4.0999999999999988E-2</v>
      </c>
      <c r="L19" s="265">
        <v>0.21066783686827231</v>
      </c>
      <c r="M19" s="265">
        <v>7.6067093152272919E-2</v>
      </c>
      <c r="N19" s="266">
        <v>1.171838114964683</v>
      </c>
      <c r="O19" s="266">
        <v>2.0316601646493142</v>
      </c>
      <c r="P19" s="266">
        <v>11.48187095312141</v>
      </c>
      <c r="Q19" s="266">
        <v>18.60693154767894</v>
      </c>
      <c r="R19" s="266">
        <v>2.2783076134842242</v>
      </c>
      <c r="S19" s="266">
        <v>30.037383828482731</v>
      </c>
      <c r="T19" s="265">
        <v>0.1768089924155386</v>
      </c>
      <c r="U19" s="265">
        <v>6.960696633090567E-2</v>
      </c>
      <c r="V19" s="265">
        <v>5.9328798980466599E-2</v>
      </c>
      <c r="W19" s="265">
        <v>0.92366824866652963</v>
      </c>
      <c r="X19" s="265">
        <v>0.10946237425852259</v>
      </c>
      <c r="Y19" s="265">
        <v>0.47581410665300861</v>
      </c>
      <c r="Z19" s="265">
        <v>0.47581410665300861</v>
      </c>
      <c r="AA19" s="267">
        <v>0.1088767936598439</v>
      </c>
    </row>
    <row r="20" spans="1:27" s="186" customFormat="1">
      <c r="A20" s="264" t="s">
        <v>677</v>
      </c>
      <c r="B20" s="81">
        <v>224</v>
      </c>
      <c r="C20" s="265">
        <v>8.8829829059829085E-2</v>
      </c>
      <c r="D20" s="265">
        <v>0.16641491839770969</v>
      </c>
      <c r="E20" s="265">
        <v>0.14758520712864301</v>
      </c>
      <c r="F20" s="265">
        <v>0.23404373774737949</v>
      </c>
      <c r="G20" s="266">
        <v>1.2744436816284821</v>
      </c>
      <c r="H20" s="266">
        <v>1.451484719773074</v>
      </c>
      <c r="I20" s="265">
        <v>0.1089017556819759</v>
      </c>
      <c r="J20" s="265">
        <v>0.55462618679259656</v>
      </c>
      <c r="K20" s="265">
        <v>4.4999999999999998E-2</v>
      </c>
      <c r="L20" s="265">
        <v>0.34386538683666962</v>
      </c>
      <c r="M20" s="265">
        <v>8.2951350546084851E-2</v>
      </c>
      <c r="N20" s="266">
        <v>0.98073129669724213</v>
      </c>
      <c r="O20" s="266">
        <v>1.1361507622690641</v>
      </c>
      <c r="P20" s="266">
        <v>4.5275351675713642</v>
      </c>
      <c r="Q20" s="266">
        <v>6.6603073231065384</v>
      </c>
      <c r="R20" s="266">
        <v>0.93862562365499858</v>
      </c>
      <c r="S20" s="266">
        <v>17.124322673132461</v>
      </c>
      <c r="T20" s="265">
        <v>-2.2057356968695221E-2</v>
      </c>
      <c r="U20" s="265">
        <v>7.8289543839002773E-2</v>
      </c>
      <c r="V20" s="265">
        <v>4.0136185048929858E-2</v>
      </c>
      <c r="W20" s="265">
        <v>0.33170493761286279</v>
      </c>
      <c r="X20" s="265">
        <v>0.13055700046708621</v>
      </c>
      <c r="Y20" s="265">
        <v>0.56766843931029853</v>
      </c>
      <c r="Z20" s="265">
        <v>0.56766843931029853</v>
      </c>
      <c r="AA20" s="267">
        <v>0.16708500779876539</v>
      </c>
    </row>
    <row r="21" spans="1:27" s="186" customFormat="1">
      <c r="A21" s="264" t="s">
        <v>375</v>
      </c>
      <c r="B21" s="81">
        <v>969</v>
      </c>
      <c r="C21" s="265">
        <v>8.6674623188405769E-2</v>
      </c>
      <c r="D21" s="265">
        <v>7.0386406305430124E-2</v>
      </c>
      <c r="E21" s="265">
        <v>0.19831455784437529</v>
      </c>
      <c r="F21" s="265">
        <v>0.25277327217813439</v>
      </c>
      <c r="G21" s="266">
        <v>0.9806480666532279</v>
      </c>
      <c r="H21" s="266">
        <v>1.0800873480285831</v>
      </c>
      <c r="I21" s="265">
        <v>8.5949398108166444E-2</v>
      </c>
      <c r="J21" s="265">
        <v>0.39386989062740541</v>
      </c>
      <c r="K21" s="265">
        <v>4.0999999999999988E-2</v>
      </c>
      <c r="L21" s="265">
        <v>0.1936965715573013</v>
      </c>
      <c r="M21" s="265">
        <v>7.5201873026551069E-2</v>
      </c>
      <c r="N21" s="266">
        <v>3.2769627391792722</v>
      </c>
      <c r="O21" s="266">
        <v>1.233333969780017</v>
      </c>
      <c r="P21" s="266">
        <v>11.794518133165649</v>
      </c>
      <c r="Q21" s="266">
        <v>16.763363655911778</v>
      </c>
      <c r="R21" s="266">
        <v>3.3670089996638009</v>
      </c>
      <c r="S21" s="266">
        <v>37.803669220862943</v>
      </c>
      <c r="T21" s="265">
        <v>0.13777218034762759</v>
      </c>
      <c r="U21" s="265">
        <v>1.6751680137606591E-2</v>
      </c>
      <c r="V21" s="265">
        <v>5.0639057320800332E-2</v>
      </c>
      <c r="W21" s="265">
        <v>1.042883948837934</v>
      </c>
      <c r="X21" s="265">
        <v>0.1639244216752615</v>
      </c>
      <c r="Y21" s="265">
        <v>0.38371498972436652</v>
      </c>
      <c r="Z21" s="265">
        <v>0.38371498972436652</v>
      </c>
      <c r="AA21" s="267">
        <v>7.2997641610146727E-2</v>
      </c>
    </row>
    <row r="22" spans="1:27" s="186" customFormat="1">
      <c r="A22" s="264" t="s">
        <v>388</v>
      </c>
      <c r="B22" s="81">
        <v>332</v>
      </c>
      <c r="C22" s="265">
        <v>3.274297188755021E-2</v>
      </c>
      <c r="D22" s="265">
        <v>9.9933155832863663E-2</v>
      </c>
      <c r="E22" s="265">
        <v>0.13576268598222521</v>
      </c>
      <c r="F22" s="265">
        <v>0.1969208953928453</v>
      </c>
      <c r="G22" s="266">
        <v>1.349307103512327</v>
      </c>
      <c r="H22" s="266">
        <v>1.412451969374694</v>
      </c>
      <c r="I22" s="265">
        <v>0.1064895317073561</v>
      </c>
      <c r="J22" s="265">
        <v>0.37669919995679951</v>
      </c>
      <c r="K22" s="265">
        <v>4.0999999999999988E-2</v>
      </c>
      <c r="L22" s="265">
        <v>0.1464155972763212</v>
      </c>
      <c r="M22" s="265">
        <v>9.5358061658576368E-2</v>
      </c>
      <c r="N22" s="266">
        <v>1.5084245104738569</v>
      </c>
      <c r="O22" s="266">
        <v>1.8377894383671141</v>
      </c>
      <c r="P22" s="266">
        <v>11.762484568999961</v>
      </c>
      <c r="Q22" s="266">
        <v>18.137984376092781</v>
      </c>
      <c r="R22" s="266">
        <v>3.812266865451468</v>
      </c>
      <c r="S22" s="266">
        <v>43.670249711630007</v>
      </c>
      <c r="T22" s="265">
        <v>2.709030427270788E-2</v>
      </c>
      <c r="U22" s="265">
        <v>3.9941095301598693E-2</v>
      </c>
      <c r="V22" s="265">
        <v>2.0393218711625419E-2</v>
      </c>
      <c r="W22" s="265">
        <v>0.27844096595003442</v>
      </c>
      <c r="X22" s="265">
        <v>0.18176452704413579</v>
      </c>
      <c r="Y22" s="265">
        <v>0.34054348452454503</v>
      </c>
      <c r="Z22" s="265">
        <v>0.34054348452454503</v>
      </c>
      <c r="AA22" s="267">
        <v>0.10253727723052219</v>
      </c>
    </row>
    <row r="23" spans="1:27" s="186" customFormat="1">
      <c r="A23" s="264" t="s">
        <v>678</v>
      </c>
      <c r="B23" s="81">
        <v>747</v>
      </c>
      <c r="C23" s="265">
        <v>5.0424790940766559E-2</v>
      </c>
      <c r="D23" s="265">
        <v>0.1039283698870352</v>
      </c>
      <c r="E23" s="265">
        <v>0.1145544593893251</v>
      </c>
      <c r="F23" s="265">
        <v>0.22704798014607</v>
      </c>
      <c r="G23" s="266">
        <v>0.9561705566543145</v>
      </c>
      <c r="H23" s="266">
        <v>1.1491804584012539</v>
      </c>
      <c r="I23" s="265">
        <v>9.0219352329197477E-2</v>
      </c>
      <c r="J23" s="265">
        <v>0.35080276820945522</v>
      </c>
      <c r="K23" s="265">
        <v>4.0999999999999988E-2</v>
      </c>
      <c r="L23" s="265">
        <v>0.31456773378728059</v>
      </c>
      <c r="M23" s="265">
        <v>7.1421931997607546E-2</v>
      </c>
      <c r="N23" s="266">
        <v>1.282587967990404</v>
      </c>
      <c r="O23" s="266">
        <v>1.349782912014281</v>
      </c>
      <c r="P23" s="266">
        <v>8.5460235391260646</v>
      </c>
      <c r="Q23" s="266">
        <v>12.496060353878301</v>
      </c>
      <c r="R23" s="266">
        <v>1.6169804973852051</v>
      </c>
      <c r="S23" s="266">
        <v>36.03037263185481</v>
      </c>
      <c r="T23" s="265">
        <v>0.1129484056897745</v>
      </c>
      <c r="U23" s="265">
        <v>4.8932461649321059E-2</v>
      </c>
      <c r="V23" s="265">
        <v>2.4493483130627991E-2</v>
      </c>
      <c r="W23" s="265">
        <v>0.56121738441549651</v>
      </c>
      <c r="X23" s="265">
        <v>0.12030031453592591</v>
      </c>
      <c r="Y23" s="265">
        <v>0.49327052496328272</v>
      </c>
      <c r="Z23" s="265">
        <v>0.49327052496328272</v>
      </c>
      <c r="AA23" s="267">
        <v>0.1054419154062988</v>
      </c>
    </row>
    <row r="24" spans="1:27" s="186" customFormat="1">
      <c r="A24" s="264" t="s">
        <v>679</v>
      </c>
      <c r="B24" s="81">
        <v>319</v>
      </c>
      <c r="C24" s="265">
        <v>7.4941411764705909E-2</v>
      </c>
      <c r="D24" s="265">
        <v>0.1130856729167264</v>
      </c>
      <c r="E24" s="265">
        <v>8.7349200886271183E-2</v>
      </c>
      <c r="F24" s="265">
        <v>0.17774562375525779</v>
      </c>
      <c r="G24" s="266">
        <v>0.69080153627970853</v>
      </c>
      <c r="H24" s="266">
        <v>0.93036298547225471</v>
      </c>
      <c r="I24" s="265">
        <v>7.6696432502185344E-2</v>
      </c>
      <c r="J24" s="265">
        <v>0.26615705455108329</v>
      </c>
      <c r="K24" s="265">
        <v>4.0999999999999988E-2</v>
      </c>
      <c r="L24" s="265">
        <v>0.40433505197464392</v>
      </c>
      <c r="M24" s="265">
        <v>5.8002635168448037E-2</v>
      </c>
      <c r="N24" s="266">
        <v>0.90211693802923287</v>
      </c>
      <c r="O24" s="266">
        <v>1.5894901772875689</v>
      </c>
      <c r="P24" s="266">
        <v>9.6923072201674287</v>
      </c>
      <c r="Q24" s="266">
        <v>13.77809679257577</v>
      </c>
      <c r="R24" s="266">
        <v>1.0844657722573381</v>
      </c>
      <c r="S24" s="266">
        <v>27.049435153536699</v>
      </c>
      <c r="T24" s="265">
        <v>-0.1368982467059007</v>
      </c>
      <c r="U24" s="265">
        <v>5.1088482150126582E-2</v>
      </c>
      <c r="V24" s="265">
        <v>3.4236226752331941E-2</v>
      </c>
      <c r="W24" s="265">
        <v>0.52442672788701217</v>
      </c>
      <c r="X24" s="265">
        <v>8.2415900806203007E-2</v>
      </c>
      <c r="Y24" s="265">
        <v>0.30707183845561897</v>
      </c>
      <c r="Z24" s="265">
        <v>0.30707183845561897</v>
      </c>
      <c r="AA24" s="267">
        <v>0.1138556312718231</v>
      </c>
    </row>
    <row r="25" spans="1:27" s="186" customFormat="1">
      <c r="A25" s="264" t="s">
        <v>680</v>
      </c>
      <c r="B25" s="81">
        <v>1024</v>
      </c>
      <c r="C25" s="265">
        <v>0.2299758760107817</v>
      </c>
      <c r="D25" s="265">
        <v>8.9730373717746212E-2</v>
      </c>
      <c r="E25" s="265">
        <v>7.1840773429265578E-2</v>
      </c>
      <c r="F25" s="265">
        <v>0.15183511621953369</v>
      </c>
      <c r="G25" s="266">
        <v>1.402411144016612</v>
      </c>
      <c r="H25" s="266">
        <v>1.4278476060813261</v>
      </c>
      <c r="I25" s="265">
        <v>0.1074409820558259</v>
      </c>
      <c r="J25" s="265">
        <v>0.62074646701228164</v>
      </c>
      <c r="K25" s="265">
        <v>4.4999999999999998E-2</v>
      </c>
      <c r="L25" s="265">
        <v>0.1094857889215384</v>
      </c>
      <c r="M25" s="265">
        <v>9.9338378725530627E-2</v>
      </c>
      <c r="N25" s="266">
        <v>0.44056270673289982</v>
      </c>
      <c r="O25" s="266">
        <v>7.9252121590309432</v>
      </c>
      <c r="P25" s="266">
        <v>16.034491319336901</v>
      </c>
      <c r="Q25" s="266">
        <v>64.007394725077717</v>
      </c>
      <c r="R25" s="266">
        <v>6.7526422075341737</v>
      </c>
      <c r="S25" s="266">
        <v>156.27964985038329</v>
      </c>
      <c r="T25" s="265">
        <v>0.1843372667097937</v>
      </c>
      <c r="U25" s="265">
        <v>5.4874241788084407E-2</v>
      </c>
      <c r="V25" s="265">
        <v>9.7463361164434228E-2</v>
      </c>
      <c r="W25" s="265">
        <v>2.4823054178663542</v>
      </c>
      <c r="X25" s="265">
        <v>-2.0665181213161441E-2</v>
      </c>
      <c r="Y25" s="265">
        <v>2.2905271565332821E-3</v>
      </c>
      <c r="Z25" s="265">
        <v>2.2905271565333289E-3</v>
      </c>
      <c r="AA25" s="267">
        <v>0.16484565005932</v>
      </c>
    </row>
    <row r="26" spans="1:27" s="186" customFormat="1">
      <c r="A26" s="264" t="s">
        <v>681</v>
      </c>
      <c r="B26" s="81">
        <v>1263</v>
      </c>
      <c r="C26" s="265">
        <v>0.13438102272727259</v>
      </c>
      <c r="D26" s="265">
        <v>0.18088857741957609</v>
      </c>
      <c r="E26" s="265">
        <v>0.11951921973153171</v>
      </c>
      <c r="F26" s="265">
        <v>0.1569655088375296</v>
      </c>
      <c r="G26" s="266">
        <v>1.198508063295098</v>
      </c>
      <c r="H26" s="266">
        <v>1.2967923468416489</v>
      </c>
      <c r="I26" s="265">
        <v>9.9341767034813913E-2</v>
      </c>
      <c r="J26" s="265">
        <v>0.52029758280311833</v>
      </c>
      <c r="K26" s="265">
        <v>4.4999999999999998E-2</v>
      </c>
      <c r="L26" s="265">
        <v>0.15454303389746979</v>
      </c>
      <c r="M26" s="265">
        <v>8.9156335302880016E-2</v>
      </c>
      <c r="N26" s="266">
        <v>0.71353413610939542</v>
      </c>
      <c r="O26" s="266">
        <v>4.1327887437148769</v>
      </c>
      <c r="P26" s="266">
        <v>14.49886031561415</v>
      </c>
      <c r="Q26" s="266">
        <v>22.15095403476268</v>
      </c>
      <c r="R26" s="266">
        <v>3.6640204781539731</v>
      </c>
      <c r="S26" s="266">
        <v>66.875358389706278</v>
      </c>
      <c r="T26" s="265">
        <v>0.17686956645803009</v>
      </c>
      <c r="U26" s="265">
        <v>4.9778433116527743E-2</v>
      </c>
      <c r="V26" s="265">
        <v>6.2225832603664877E-2</v>
      </c>
      <c r="W26" s="265">
        <v>0.46973507865711911</v>
      </c>
      <c r="X26" s="265">
        <v>0.11025315237399</v>
      </c>
      <c r="Y26" s="265">
        <v>0.74471331874866553</v>
      </c>
      <c r="Z26" s="265">
        <v>0.74471331874866553</v>
      </c>
      <c r="AA26" s="267">
        <v>0.18570607630148711</v>
      </c>
    </row>
    <row r="27" spans="1:27" s="186" customFormat="1">
      <c r="A27" s="264" t="s">
        <v>682</v>
      </c>
      <c r="B27" s="81">
        <v>211</v>
      </c>
      <c r="C27" s="265">
        <v>6.375852173913045E-2</v>
      </c>
      <c r="D27" s="265">
        <v>0.11433782887841561</v>
      </c>
      <c r="E27" s="265">
        <v>0.11174300443283471</v>
      </c>
      <c r="F27" s="265">
        <v>0.1902676938057252</v>
      </c>
      <c r="G27" s="266">
        <v>1.023480776444716</v>
      </c>
      <c r="H27" s="266">
        <v>1.1366672397453841</v>
      </c>
      <c r="I27" s="265">
        <v>8.944603541626471E-2</v>
      </c>
      <c r="J27" s="265">
        <v>0.39389953814831752</v>
      </c>
      <c r="K27" s="265">
        <v>4.0999999999999988E-2</v>
      </c>
      <c r="L27" s="265">
        <v>0.2145360483508689</v>
      </c>
      <c r="M27" s="265">
        <v>7.6792048078319936E-2</v>
      </c>
      <c r="N27" s="266">
        <v>1.1377612814406419</v>
      </c>
      <c r="O27" s="266">
        <v>3.1831112714873608</v>
      </c>
      <c r="P27" s="266">
        <v>15.171288794059199</v>
      </c>
      <c r="Q27" s="266">
        <v>27.656340661115451</v>
      </c>
      <c r="R27" s="266">
        <v>2.766022278308705</v>
      </c>
      <c r="S27" s="266">
        <v>57.390096059986277</v>
      </c>
      <c r="T27" s="265">
        <v>3.0782614320438051E-2</v>
      </c>
      <c r="U27" s="265">
        <v>6.8339035064119855E-2</v>
      </c>
      <c r="V27" s="265">
        <v>8.4989676004548514E-2</v>
      </c>
      <c r="W27" s="265">
        <v>1.2219915796485481</v>
      </c>
      <c r="X27" s="265">
        <v>0.117598775427412</v>
      </c>
      <c r="Y27" s="265">
        <v>0.34153641320785488</v>
      </c>
      <c r="Z27" s="265">
        <v>0.34153641320785488</v>
      </c>
      <c r="AA27" s="267">
        <v>0.11321578675859929</v>
      </c>
    </row>
    <row r="28" spans="1:27" s="186" customFormat="1">
      <c r="A28" s="264" t="s">
        <v>683</v>
      </c>
      <c r="B28" s="81">
        <v>902</v>
      </c>
      <c r="C28" s="265">
        <v>7.8946814449917871E-2</v>
      </c>
      <c r="D28" s="265">
        <v>7.0734555408021885E-2</v>
      </c>
      <c r="E28" s="265">
        <v>0.11584011996292121</v>
      </c>
      <c r="F28" s="265">
        <v>0.2016504285586144</v>
      </c>
      <c r="G28" s="266">
        <v>1.146287349436663</v>
      </c>
      <c r="H28" s="266">
        <v>1.2804607867153419</v>
      </c>
      <c r="I28" s="265">
        <v>9.8332476619008138E-2</v>
      </c>
      <c r="J28" s="265">
        <v>0.38217637423395212</v>
      </c>
      <c r="K28" s="265">
        <v>4.0999999999999988E-2</v>
      </c>
      <c r="L28" s="265">
        <v>0.22416958430026199</v>
      </c>
      <c r="M28" s="265">
        <v>8.3118204258648729E-2</v>
      </c>
      <c r="N28" s="266">
        <v>1.324302803739664</v>
      </c>
      <c r="O28" s="266">
        <v>1.7020373865470679</v>
      </c>
      <c r="P28" s="266">
        <v>10.36090192689179</v>
      </c>
      <c r="Q28" s="266">
        <v>16.58710065239174</v>
      </c>
      <c r="R28" s="266">
        <v>2.2775284895534891</v>
      </c>
      <c r="S28" s="266">
        <v>53.309711702477941</v>
      </c>
      <c r="T28" s="265">
        <v>0.23790244680054601</v>
      </c>
      <c r="U28" s="265">
        <v>4.7404077762603088E-2</v>
      </c>
      <c r="V28" s="265">
        <v>3.6554952268916023E-2</v>
      </c>
      <c r="W28" s="265">
        <v>0.82738745593864027</v>
      </c>
      <c r="X28" s="265">
        <v>6.6964609900260569E-2</v>
      </c>
      <c r="Y28" s="265">
        <v>0.67132728857555812</v>
      </c>
      <c r="Z28" s="265">
        <v>0.67132728857555812</v>
      </c>
      <c r="AA28" s="267">
        <v>9.9917973759478501E-2</v>
      </c>
    </row>
    <row r="29" spans="1:27" s="186" customFormat="1">
      <c r="A29" s="264" t="s">
        <v>684</v>
      </c>
      <c r="B29" s="81">
        <v>142</v>
      </c>
      <c r="C29" s="265">
        <v>1.4216372549019611E-2</v>
      </c>
      <c r="D29" s="265">
        <v>4.824459216964682E-2</v>
      </c>
      <c r="E29" s="265">
        <v>9.4058112871088409E-2</v>
      </c>
      <c r="F29" s="265">
        <v>0.1119583087570208</v>
      </c>
      <c r="G29" s="266">
        <v>1.300002808253641</v>
      </c>
      <c r="H29" s="266">
        <v>1.4512658895581141</v>
      </c>
      <c r="I29" s="265">
        <v>0.1088882319746914</v>
      </c>
      <c r="J29" s="265">
        <v>0.40855411958100679</v>
      </c>
      <c r="K29" s="265">
        <v>4.4999999999999998E-2</v>
      </c>
      <c r="L29" s="265">
        <v>0.27964914687256398</v>
      </c>
      <c r="M29" s="265">
        <v>8.7787800024191287E-2</v>
      </c>
      <c r="N29" s="266">
        <v>1.841169830789388</v>
      </c>
      <c r="O29" s="266">
        <v>0.77513139925774388</v>
      </c>
      <c r="P29" s="266">
        <v>7.9389132940333784</v>
      </c>
      <c r="Q29" s="266">
        <v>14.717521795552271</v>
      </c>
      <c r="R29" s="266">
        <v>1.6340079823407849</v>
      </c>
      <c r="S29" s="266">
        <v>56.465793706656129</v>
      </c>
      <c r="T29" s="265">
        <v>2.413584131373336E-2</v>
      </c>
      <c r="U29" s="265">
        <v>4.3964536714132238E-2</v>
      </c>
      <c r="V29" s="265">
        <v>3.6851128852855512E-2</v>
      </c>
      <c r="W29" s="265">
        <v>1.2171862671751039</v>
      </c>
      <c r="X29" s="265">
        <v>0.13133087797579041</v>
      </c>
      <c r="Y29" s="265">
        <v>0.2369926213669612</v>
      </c>
      <c r="Z29" s="265">
        <v>0.2369926213669612</v>
      </c>
      <c r="AA29" s="267">
        <v>5.64019137644148E-2</v>
      </c>
    </row>
    <row r="30" spans="1:27" s="186" customFormat="1">
      <c r="A30" s="264" t="s">
        <v>685</v>
      </c>
      <c r="B30" s="81">
        <v>1345</v>
      </c>
      <c r="C30" s="265">
        <v>6.1161922310756921E-2</v>
      </c>
      <c r="D30" s="265">
        <v>6.0548354049097468E-2</v>
      </c>
      <c r="E30" s="265">
        <v>8.6115835166235874E-2</v>
      </c>
      <c r="F30" s="265">
        <v>0.21000135507359871</v>
      </c>
      <c r="G30" s="266">
        <v>1.3817241330917149</v>
      </c>
      <c r="H30" s="266">
        <v>1.3992918291192591</v>
      </c>
      <c r="I30" s="265">
        <v>0.1056762350395702</v>
      </c>
      <c r="J30" s="265">
        <v>0.3966702302649589</v>
      </c>
      <c r="K30" s="265">
        <v>4.0999999999999988E-2</v>
      </c>
      <c r="L30" s="265">
        <v>0.15060360451192609</v>
      </c>
      <c r="M30" s="265">
        <v>9.4348850735608197E-2</v>
      </c>
      <c r="N30" s="266">
        <v>1.553937801461869</v>
      </c>
      <c r="O30" s="266">
        <v>1.4573693138125621</v>
      </c>
      <c r="P30" s="266">
        <v>13.092579852399281</v>
      </c>
      <c r="Q30" s="266">
        <v>23.095397724536699</v>
      </c>
      <c r="R30" s="266">
        <v>2.373156039185802</v>
      </c>
      <c r="S30" s="266">
        <v>54.111065485892468</v>
      </c>
      <c r="T30" s="265">
        <v>0.17294007917473431</v>
      </c>
      <c r="U30" s="265">
        <v>6.4457828757370869E-2</v>
      </c>
      <c r="V30" s="265">
        <v>5.0271659260413243E-2</v>
      </c>
      <c r="W30" s="265">
        <v>1.389669515961681</v>
      </c>
      <c r="X30" s="265">
        <v>7.9048459405929375E-2</v>
      </c>
      <c r="Y30" s="265">
        <v>0.48786304696446808</v>
      </c>
      <c r="Z30" s="265">
        <v>0.48786304696446797</v>
      </c>
      <c r="AA30" s="267">
        <v>6.368923959300582E-2</v>
      </c>
    </row>
    <row r="31" spans="1:27" s="186" customFormat="1">
      <c r="A31" s="264" t="s">
        <v>686</v>
      </c>
      <c r="B31" s="81">
        <v>1208</v>
      </c>
      <c r="C31" s="265">
        <v>4.6789758269720122E-2</v>
      </c>
      <c r="D31" s="265">
        <v>5.2859363056914979E-2</v>
      </c>
      <c r="E31" s="265">
        <v>9.5097375547854343E-2</v>
      </c>
      <c r="F31" s="265">
        <v>0.25038055688867711</v>
      </c>
      <c r="G31" s="266">
        <v>0.80998753529024337</v>
      </c>
      <c r="H31" s="266">
        <v>1.1004589935444631</v>
      </c>
      <c r="I31" s="265">
        <v>8.7208365801047821E-2</v>
      </c>
      <c r="J31" s="265">
        <v>0.36528624125554288</v>
      </c>
      <c r="K31" s="265">
        <v>4.0999999999999988E-2</v>
      </c>
      <c r="L31" s="265">
        <v>0.47601614939147441</v>
      </c>
      <c r="M31" s="265">
        <v>6.0196655276622379E-2</v>
      </c>
      <c r="N31" s="266">
        <v>2.074389687962078</v>
      </c>
      <c r="O31" s="266">
        <v>0.64078374447731556</v>
      </c>
      <c r="P31" s="266">
        <v>8.2150705466577083</v>
      </c>
      <c r="Q31" s="266">
        <v>11.61718250867424</v>
      </c>
      <c r="R31" s="266">
        <v>1.1109430223432579</v>
      </c>
      <c r="S31" s="266">
        <v>52.5617563033992</v>
      </c>
      <c r="T31" s="265">
        <v>0.1540781482061733</v>
      </c>
      <c r="U31" s="265">
        <v>3.3673238704949017E-2</v>
      </c>
      <c r="V31" s="265">
        <v>3.5239692785094021E-2</v>
      </c>
      <c r="W31" s="265">
        <v>1.5687799543147369</v>
      </c>
      <c r="X31" s="265">
        <v>9.5723352131429393E-2</v>
      </c>
      <c r="Y31" s="265">
        <v>0.5293871745718931</v>
      </c>
      <c r="Z31" s="265">
        <v>0.5293871745718931</v>
      </c>
      <c r="AA31" s="267">
        <v>5.5431283339838967E-2</v>
      </c>
    </row>
    <row r="32" spans="1:27" s="186" customFormat="1">
      <c r="A32" s="264" t="s">
        <v>687</v>
      </c>
      <c r="B32" s="81">
        <v>660</v>
      </c>
      <c r="C32" s="265">
        <v>0.13369196185286111</v>
      </c>
      <c r="D32" s="265">
        <v>0.1176978611580049</v>
      </c>
      <c r="E32" s="265">
        <v>0.1277664139773754</v>
      </c>
      <c r="F32" s="265">
        <v>0.22573674649490089</v>
      </c>
      <c r="G32" s="266">
        <v>1.1704864371645189</v>
      </c>
      <c r="H32" s="266">
        <v>1.2595675823471231</v>
      </c>
      <c r="I32" s="265">
        <v>9.7041276589052206E-2</v>
      </c>
      <c r="J32" s="265">
        <v>0.48011717495501938</v>
      </c>
      <c r="K32" s="265">
        <v>4.4999999999999998E-2</v>
      </c>
      <c r="L32" s="265">
        <v>0.1633262829877363</v>
      </c>
      <c r="M32" s="265">
        <v>8.6652699859072438E-2</v>
      </c>
      <c r="N32" s="266">
        <v>1.233790204442953</v>
      </c>
      <c r="O32" s="266">
        <v>3.904924200501517</v>
      </c>
      <c r="P32" s="266">
        <v>19.033568038085079</v>
      </c>
      <c r="Q32" s="266">
        <v>32.633847449055793</v>
      </c>
      <c r="R32" s="266">
        <v>3.2502378685478379</v>
      </c>
      <c r="S32" s="266">
        <v>52.252289754181767</v>
      </c>
      <c r="T32" s="265">
        <v>5.1075534738347562E-2</v>
      </c>
      <c r="U32" s="265">
        <v>4.6012770681789029E-2</v>
      </c>
      <c r="V32" s="265">
        <v>5.1864876785658383E-2</v>
      </c>
      <c r="W32" s="265">
        <v>0.72285087197844777</v>
      </c>
      <c r="X32" s="265">
        <v>9.1069030495293288E-2</v>
      </c>
      <c r="Y32" s="265">
        <v>0.37585706310389261</v>
      </c>
      <c r="Z32" s="265">
        <v>0.37585706310389272</v>
      </c>
      <c r="AA32" s="267">
        <v>0.11413684515633769</v>
      </c>
    </row>
    <row r="33" spans="1:27" s="186" customFormat="1">
      <c r="A33" s="264" t="s">
        <v>688</v>
      </c>
      <c r="B33" s="81">
        <v>325</v>
      </c>
      <c r="C33" s="265">
        <v>0.1169961538461539</v>
      </c>
      <c r="D33" s="265">
        <v>0.10428205249110151</v>
      </c>
      <c r="E33" s="265">
        <v>0.1253092657730682</v>
      </c>
      <c r="F33" s="265">
        <v>0.22232756419999219</v>
      </c>
      <c r="G33" s="266">
        <v>1.010889595400762</v>
      </c>
      <c r="H33" s="266">
        <v>1.2165784087388201</v>
      </c>
      <c r="I33" s="265">
        <v>9.4384545660059049E-2</v>
      </c>
      <c r="J33" s="265">
        <v>0.4382407138678574</v>
      </c>
      <c r="K33" s="265">
        <v>4.4999999999999998E-2</v>
      </c>
      <c r="L33" s="265">
        <v>0.27007088423566472</v>
      </c>
      <c r="M33" s="265">
        <v>7.7923847969884871E-2</v>
      </c>
      <c r="N33" s="266">
        <v>1.354607267907789</v>
      </c>
      <c r="O33" s="266">
        <v>2.4761615532168069</v>
      </c>
      <c r="P33" s="266">
        <v>13.45827924636661</v>
      </c>
      <c r="Q33" s="266">
        <v>22.78282974101317</v>
      </c>
      <c r="R33" s="266">
        <v>2.9464841177116621</v>
      </c>
      <c r="S33" s="266">
        <v>139.85974331268051</v>
      </c>
      <c r="T33" s="265">
        <v>0.11578888566052491</v>
      </c>
      <c r="U33" s="265">
        <v>9.5686793561706895E-2</v>
      </c>
      <c r="V33" s="265">
        <v>7.4267403613543254E-2</v>
      </c>
      <c r="W33" s="265">
        <v>1.267471686371815</v>
      </c>
      <c r="X33" s="265">
        <v>7.7205259290673414E-2</v>
      </c>
      <c r="Y33" s="265">
        <v>0.69243647392216545</v>
      </c>
      <c r="Z33" s="265">
        <v>0.69243647392216545</v>
      </c>
      <c r="AA33" s="267">
        <v>0.1068068916882122</v>
      </c>
    </row>
    <row r="34" spans="1:27" s="186" customFormat="1">
      <c r="A34" s="264" t="s">
        <v>689</v>
      </c>
      <c r="B34" s="81">
        <v>406</v>
      </c>
      <c r="C34" s="265">
        <v>8.3574179104477675E-2</v>
      </c>
      <c r="D34" s="265">
        <v>4.7032114142262417E-2</v>
      </c>
      <c r="E34" s="265">
        <v>5.3836881023176839E-2</v>
      </c>
      <c r="F34" s="265">
        <v>0.19905884239659161</v>
      </c>
      <c r="G34" s="266">
        <v>0.60047605714002594</v>
      </c>
      <c r="H34" s="266">
        <v>0.81652017523268927</v>
      </c>
      <c r="I34" s="265">
        <v>6.9660946829380191E-2</v>
      </c>
      <c r="J34" s="265">
        <v>0.38163047797118671</v>
      </c>
      <c r="K34" s="265">
        <v>4.0999999999999988E-2</v>
      </c>
      <c r="L34" s="265">
        <v>0.36967022192874599</v>
      </c>
      <c r="M34" s="265">
        <v>5.5170633125812031E-2</v>
      </c>
      <c r="N34" s="266">
        <v>1.2797283591998481</v>
      </c>
      <c r="O34" s="266">
        <v>1.203586514177706</v>
      </c>
      <c r="P34" s="266">
        <v>13.813880013876521</v>
      </c>
      <c r="Q34" s="266">
        <v>23.864291149688931</v>
      </c>
      <c r="R34" s="266">
        <v>1.834867464574014</v>
      </c>
      <c r="S34" s="266">
        <v>79.746003041290408</v>
      </c>
      <c r="T34" s="265">
        <v>0.15693256264053679</v>
      </c>
      <c r="U34" s="265">
        <v>4.9370238053456292E-2</v>
      </c>
      <c r="V34" s="265">
        <v>3.4107346999390852E-2</v>
      </c>
      <c r="W34" s="265">
        <v>1.127938868305147</v>
      </c>
      <c r="X34" s="265">
        <v>6.7468144191225835E-2</v>
      </c>
      <c r="Y34" s="265">
        <v>0.54435726521202088</v>
      </c>
      <c r="Z34" s="265">
        <v>0.54435726521202088</v>
      </c>
      <c r="AA34" s="267">
        <v>4.7928493696204721E-2</v>
      </c>
    </row>
    <row r="35" spans="1:27" s="186" customFormat="1">
      <c r="A35" s="264" t="s">
        <v>690</v>
      </c>
      <c r="B35" s="81">
        <v>1059</v>
      </c>
      <c r="C35" s="265">
        <v>0.13239517391304351</v>
      </c>
      <c r="D35" s="265">
        <v>6.7742280954025721E-2</v>
      </c>
      <c r="E35" s="265">
        <v>3.9250502115049579E-3</v>
      </c>
      <c r="F35" s="265">
        <v>0.1819021277742367</v>
      </c>
      <c r="G35" s="266">
        <v>0.149564226523487</v>
      </c>
      <c r="H35" s="266">
        <v>0.78916242023397243</v>
      </c>
      <c r="I35" s="265">
        <v>6.7970237570459502E-2</v>
      </c>
      <c r="J35" s="265">
        <v>0.34529993937082748</v>
      </c>
      <c r="K35" s="265">
        <v>4.0999999999999988E-2</v>
      </c>
      <c r="L35" s="265">
        <v>0.86278820994364425</v>
      </c>
      <c r="M35" s="265">
        <v>3.5609435207111753E-2</v>
      </c>
      <c r="N35" s="266">
        <v>6.9886950522399821E-2</v>
      </c>
      <c r="O35" s="266">
        <v>15.97356731101651</v>
      </c>
      <c r="P35" s="266">
        <v>152.52334072949651</v>
      </c>
      <c r="Q35" s="266" t="s">
        <v>188</v>
      </c>
      <c r="R35" s="266">
        <v>1.3513574663896391</v>
      </c>
      <c r="S35" s="266">
        <v>69.447815916466212</v>
      </c>
      <c r="T35" s="265" t="s">
        <v>188</v>
      </c>
      <c r="U35" s="265">
        <v>6.8922778013924574E-2</v>
      </c>
      <c r="V35" s="265">
        <v>6.9558027318686017E-2</v>
      </c>
      <c r="W35" s="265">
        <v>1.9510578436951</v>
      </c>
      <c r="X35" s="265">
        <v>0.20622625054362029</v>
      </c>
      <c r="Y35" s="265">
        <v>0.2114879829426386</v>
      </c>
      <c r="Z35" s="265">
        <v>0.2114879829426386</v>
      </c>
      <c r="AA35" s="267">
        <v>6.6455320936018636E-2</v>
      </c>
    </row>
    <row r="36" spans="1:27" s="186" customFormat="1">
      <c r="A36" s="264" t="s">
        <v>691</v>
      </c>
      <c r="B36" s="81">
        <v>1262</v>
      </c>
      <c r="C36" s="265">
        <v>6.3988638392857164E-2</v>
      </c>
      <c r="D36" s="265">
        <v>8.528946373931369E-2</v>
      </c>
      <c r="E36" s="265">
        <v>0.1193637039826716</v>
      </c>
      <c r="F36" s="265">
        <v>0.2138424846449668</v>
      </c>
      <c r="G36" s="266">
        <v>0.65011708444848482</v>
      </c>
      <c r="H36" s="266">
        <v>0.7499572266099076</v>
      </c>
      <c r="I36" s="265">
        <v>6.5547356604492291E-2</v>
      </c>
      <c r="J36" s="265">
        <v>0.32018900857587662</v>
      </c>
      <c r="K36" s="265">
        <v>4.0999999999999988E-2</v>
      </c>
      <c r="L36" s="265">
        <v>0.21542187569839161</v>
      </c>
      <c r="M36" s="265">
        <v>5.7989418697081303E-2</v>
      </c>
      <c r="N36" s="266">
        <v>1.657647510994001</v>
      </c>
      <c r="O36" s="266">
        <v>1.7329544653534941</v>
      </c>
      <c r="P36" s="266">
        <v>13.7177021152488</v>
      </c>
      <c r="Q36" s="266">
        <v>20.0804217641832</v>
      </c>
      <c r="R36" s="266">
        <v>2.747629409766204</v>
      </c>
      <c r="S36" s="266">
        <v>41.676743727757682</v>
      </c>
      <c r="T36" s="265">
        <v>0.1050466850266728</v>
      </c>
      <c r="U36" s="265">
        <v>4.6081026878275921E-2</v>
      </c>
      <c r="V36" s="265">
        <v>3.7692908440659062E-2</v>
      </c>
      <c r="W36" s="265">
        <v>0.62304662153027757</v>
      </c>
      <c r="X36" s="265">
        <v>7.9408211831887829E-2</v>
      </c>
      <c r="Y36" s="265">
        <v>0.7452932121178012</v>
      </c>
      <c r="Z36" s="265">
        <v>0.7452932121178012</v>
      </c>
      <c r="AA36" s="267">
        <v>8.56699631547964E-2</v>
      </c>
    </row>
    <row r="37" spans="1:27" s="186" customFormat="1">
      <c r="A37" s="264" t="s">
        <v>692</v>
      </c>
      <c r="B37" s="81">
        <v>151</v>
      </c>
      <c r="C37" s="265">
        <v>0.1559560396039604</v>
      </c>
      <c r="D37" s="265">
        <v>2.41586881177102E-2</v>
      </c>
      <c r="E37" s="265">
        <v>0.1067315508928235</v>
      </c>
      <c r="F37" s="265">
        <v>0.26080951403938463</v>
      </c>
      <c r="G37" s="266">
        <v>0.51849296336586315</v>
      </c>
      <c r="H37" s="266">
        <v>0.75641567799942844</v>
      </c>
      <c r="I37" s="265">
        <v>6.5946488900364683E-2</v>
      </c>
      <c r="J37" s="265">
        <v>0.34198013014605771</v>
      </c>
      <c r="K37" s="265">
        <v>4.0999999999999988E-2</v>
      </c>
      <c r="L37" s="265">
        <v>0.42733054467883302</v>
      </c>
      <c r="M37" s="265">
        <v>5.078331026146652E-2</v>
      </c>
      <c r="N37" s="266">
        <v>5.2084367791298174</v>
      </c>
      <c r="O37" s="266">
        <v>0.48139534295222042</v>
      </c>
      <c r="P37" s="266">
        <v>11.42728675780776</v>
      </c>
      <c r="Q37" s="266">
        <v>19.273881451187069</v>
      </c>
      <c r="R37" s="266">
        <v>2.0735287535668641</v>
      </c>
      <c r="S37" s="266">
        <v>51.753559872729987</v>
      </c>
      <c r="T37" s="265">
        <v>4.8434790391602797E-2</v>
      </c>
      <c r="U37" s="265">
        <v>1.50098782058224E-2</v>
      </c>
      <c r="V37" s="265">
        <v>1.7235462039347619E-2</v>
      </c>
      <c r="W37" s="265">
        <v>0.98456807681031744</v>
      </c>
      <c r="X37" s="265">
        <v>9.1269997955932713E-2</v>
      </c>
      <c r="Y37" s="265">
        <v>0.54520963509891618</v>
      </c>
      <c r="Z37" s="265">
        <v>0.54520963509891618</v>
      </c>
      <c r="AA37" s="267">
        <v>2.4825535666774239E-2</v>
      </c>
    </row>
    <row r="38" spans="1:27" s="186" customFormat="1">
      <c r="A38" s="264" t="s">
        <v>693</v>
      </c>
      <c r="B38" s="81">
        <v>328</v>
      </c>
      <c r="C38" s="265">
        <v>6.4911826086956545E-2</v>
      </c>
      <c r="D38" s="265">
        <v>7.4270399095097681E-2</v>
      </c>
      <c r="E38" s="265">
        <v>0.1555536176846134</v>
      </c>
      <c r="F38" s="265">
        <v>0.18576809374079459</v>
      </c>
      <c r="G38" s="266">
        <v>1.005852247194472</v>
      </c>
      <c r="H38" s="266">
        <v>1.026221761013111</v>
      </c>
      <c r="I38" s="265">
        <v>8.2620504830610245E-2</v>
      </c>
      <c r="J38" s="265">
        <v>0.34400720365518472</v>
      </c>
      <c r="K38" s="265">
        <v>4.0999999999999988E-2</v>
      </c>
      <c r="L38" s="265">
        <v>0.19345939891845121</v>
      </c>
      <c r="M38" s="265">
        <v>7.253014529699417E-2</v>
      </c>
      <c r="N38" s="266">
        <v>2.4084220959076461</v>
      </c>
      <c r="O38" s="266">
        <v>1.1888969242664891</v>
      </c>
      <c r="P38" s="266">
        <v>10.92524985709456</v>
      </c>
      <c r="Q38" s="266">
        <v>15.27625512576479</v>
      </c>
      <c r="R38" s="266">
        <v>2.721095558591978</v>
      </c>
      <c r="S38" s="266">
        <v>28.371675006378769</v>
      </c>
      <c r="T38" s="265">
        <v>4.7724168314042317E-2</v>
      </c>
      <c r="U38" s="265">
        <v>3.4835143203373387E-2</v>
      </c>
      <c r="V38" s="265">
        <v>2.6339181693545839E-2</v>
      </c>
      <c r="W38" s="265">
        <v>0.5442313129834635</v>
      </c>
      <c r="X38" s="265">
        <v>0.14261388753459631</v>
      </c>
      <c r="Y38" s="265">
        <v>0.49210062561617329</v>
      </c>
      <c r="Z38" s="265">
        <v>0.49210062561617329</v>
      </c>
      <c r="AA38" s="267">
        <v>7.711994429690737E-2</v>
      </c>
    </row>
    <row r="39" spans="1:27" s="186" customFormat="1">
      <c r="A39" s="264" t="s">
        <v>694</v>
      </c>
      <c r="B39" s="81">
        <v>213</v>
      </c>
      <c r="C39" s="265">
        <v>0.23736264150943401</v>
      </c>
      <c r="D39" s="265">
        <v>0.35647891232232609</v>
      </c>
      <c r="E39" s="265">
        <v>7.110563159403839E-2</v>
      </c>
      <c r="F39" s="265">
        <v>0.16701004418527249</v>
      </c>
      <c r="G39" s="266">
        <v>0.58673033422852838</v>
      </c>
      <c r="H39" s="266">
        <v>0.88696885828612937</v>
      </c>
      <c r="I39" s="265">
        <v>7.4014675442082789E-2</v>
      </c>
      <c r="J39" s="265">
        <v>0.38025489613951258</v>
      </c>
      <c r="K39" s="265">
        <v>4.0999999999999988E-2</v>
      </c>
      <c r="L39" s="265">
        <v>0.43518532528778747</v>
      </c>
      <c r="M39" s="265">
        <v>5.5061625397991837E-2</v>
      </c>
      <c r="N39" s="266">
        <v>0.23075931442160311</v>
      </c>
      <c r="O39" s="266">
        <v>6.7575144931383084</v>
      </c>
      <c r="P39" s="266">
        <v>11.56954280152658</v>
      </c>
      <c r="Q39" s="266">
        <v>19.232600522563459</v>
      </c>
      <c r="R39" s="266">
        <v>1.720178634522926</v>
      </c>
      <c r="S39" s="266">
        <v>105.7695338454853</v>
      </c>
      <c r="T39" s="265">
        <v>4.847419776191747E-2</v>
      </c>
      <c r="U39" s="265">
        <v>0.28767246738389007</v>
      </c>
      <c r="V39" s="265">
        <v>0.1375743762180707</v>
      </c>
      <c r="W39" s="265">
        <v>0.69900713960509098</v>
      </c>
      <c r="X39" s="265">
        <v>0.1043101228470741</v>
      </c>
      <c r="Y39" s="265">
        <v>0.77840508996438151</v>
      </c>
      <c r="Z39" s="265">
        <v>0.77840508996438151</v>
      </c>
      <c r="AA39" s="267">
        <v>0.34860548771381228</v>
      </c>
    </row>
    <row r="40" spans="1:27" s="186" customFormat="1">
      <c r="A40" s="264" t="s">
        <v>695</v>
      </c>
      <c r="B40" s="81">
        <v>739</v>
      </c>
      <c r="C40" s="265">
        <v>0.1137781617647059</v>
      </c>
      <c r="D40" s="265">
        <v>0.14871035922653411</v>
      </c>
      <c r="E40" s="265">
        <v>0.14019710672728619</v>
      </c>
      <c r="F40" s="265">
        <v>0.1527831295407561</v>
      </c>
      <c r="G40" s="266">
        <v>1.1331289139797709</v>
      </c>
      <c r="H40" s="266">
        <v>1.1959194096322181</v>
      </c>
      <c r="I40" s="265">
        <v>9.310781951527107E-2</v>
      </c>
      <c r="J40" s="265">
        <v>0.48356616028744143</v>
      </c>
      <c r="K40" s="265">
        <v>4.4999999999999998E-2</v>
      </c>
      <c r="L40" s="265">
        <v>0.11060423596136849</v>
      </c>
      <c r="M40" s="265">
        <v>8.6507752905123872E-2</v>
      </c>
      <c r="N40" s="266">
        <v>0.96756791440321455</v>
      </c>
      <c r="O40" s="266">
        <v>5.1730279091659996</v>
      </c>
      <c r="P40" s="266">
        <v>21.34791534773662</v>
      </c>
      <c r="Q40" s="266">
        <v>33.228231724713368</v>
      </c>
      <c r="R40" s="266">
        <v>4.5612393775916971</v>
      </c>
      <c r="S40" s="266">
        <v>52.186073830216444</v>
      </c>
      <c r="T40" s="265">
        <v>0.24355953159634899</v>
      </c>
      <c r="U40" s="265">
        <v>5.3561132939922387E-2</v>
      </c>
      <c r="V40" s="265">
        <v>6.4284714176340699E-2</v>
      </c>
      <c r="W40" s="265">
        <v>0.7305603348220906</v>
      </c>
      <c r="X40" s="265">
        <v>9.694961173940185E-2</v>
      </c>
      <c r="Y40" s="265">
        <v>0.38006138698489589</v>
      </c>
      <c r="Z40" s="265">
        <v>0.38006138698489589</v>
      </c>
      <c r="AA40" s="267">
        <v>0.1565369596120669</v>
      </c>
    </row>
    <row r="41" spans="1:27" s="186" customFormat="1">
      <c r="A41" s="264" t="s">
        <v>696</v>
      </c>
      <c r="B41" s="81">
        <v>402</v>
      </c>
      <c r="C41" s="265">
        <v>0.18364475336322869</v>
      </c>
      <c r="D41" s="265">
        <v>4.5005024862447653E-2</v>
      </c>
      <c r="E41" s="265">
        <v>0.27228031243196937</v>
      </c>
      <c r="F41" s="265">
        <v>0.23625082881169271</v>
      </c>
      <c r="G41" s="266">
        <v>0.81838609193173262</v>
      </c>
      <c r="H41" s="266">
        <v>1.0101052155748029</v>
      </c>
      <c r="I41" s="265">
        <v>8.1624502322522829E-2</v>
      </c>
      <c r="J41" s="265">
        <v>0.39817921183139832</v>
      </c>
      <c r="K41" s="265">
        <v>4.0999999999999988E-2</v>
      </c>
      <c r="L41" s="265">
        <v>0.29354555166461072</v>
      </c>
      <c r="M41" s="265">
        <v>6.6606270899267614E-2</v>
      </c>
      <c r="N41" s="266">
        <v>7.2658396382608341</v>
      </c>
      <c r="O41" s="266">
        <v>0.72238817344525774</v>
      </c>
      <c r="P41" s="266">
        <v>11.553106130105929</v>
      </c>
      <c r="Q41" s="266">
        <v>16.1335840675107</v>
      </c>
      <c r="R41" s="266">
        <v>2.5486191100303239</v>
      </c>
      <c r="S41" s="266">
        <v>36.181777198560603</v>
      </c>
      <c r="T41" s="265">
        <v>-1.245936158145549E-2</v>
      </c>
      <c r="U41" s="265">
        <v>1.004126028299393E-2</v>
      </c>
      <c r="V41" s="265">
        <v>4.6403084303294373E-2</v>
      </c>
      <c r="W41" s="265">
        <v>1.5730923352962161</v>
      </c>
      <c r="X41" s="265">
        <v>0.122731802584067</v>
      </c>
      <c r="Y41" s="265">
        <v>0.39052602700997052</v>
      </c>
      <c r="Z41" s="265">
        <v>0.39052602700997052</v>
      </c>
      <c r="AA41" s="267">
        <v>4.4113930808785749E-2</v>
      </c>
    </row>
    <row r="42" spans="1:27" s="186" customFormat="1">
      <c r="A42" s="264" t="s">
        <v>697</v>
      </c>
      <c r="B42" s="81">
        <v>389</v>
      </c>
      <c r="C42" s="265">
        <v>0.17155423076923071</v>
      </c>
      <c r="D42" s="265">
        <v>0.1230459735506552</v>
      </c>
      <c r="E42" s="265">
        <v>0.13077224191903539</v>
      </c>
      <c r="F42" s="265">
        <v>0.15757461687726279</v>
      </c>
      <c r="G42" s="266">
        <v>1.225383329091867</v>
      </c>
      <c r="H42" s="266">
        <v>1.2955871187926451</v>
      </c>
      <c r="I42" s="265">
        <v>9.9267283941385467E-2</v>
      </c>
      <c r="J42" s="265">
        <v>0.537553858180008</v>
      </c>
      <c r="K42" s="265">
        <v>4.4999999999999998E-2</v>
      </c>
      <c r="L42" s="265">
        <v>0.1075550941436481</v>
      </c>
      <c r="M42" s="265">
        <v>9.2186686444378385E-2</v>
      </c>
      <c r="N42" s="266">
        <v>1.097559015733671</v>
      </c>
      <c r="O42" s="266">
        <v>5.709289187654166</v>
      </c>
      <c r="P42" s="266">
        <v>24.81482054202667</v>
      </c>
      <c r="Q42" s="266">
        <v>42.352912414289108</v>
      </c>
      <c r="R42" s="266">
        <v>5.5325104416909774</v>
      </c>
      <c r="S42" s="266">
        <v>770.42216200888538</v>
      </c>
      <c r="T42" s="265">
        <v>0.2089098286297045</v>
      </c>
      <c r="U42" s="265">
        <v>5.6204539819045378E-2</v>
      </c>
      <c r="V42" s="265">
        <v>6.4022394090286289E-2</v>
      </c>
      <c r="W42" s="265">
        <v>0.85220920679017198</v>
      </c>
      <c r="X42" s="265">
        <v>0.1018447730736845</v>
      </c>
      <c r="Y42" s="265">
        <v>0.1526881312090691</v>
      </c>
      <c r="Z42" s="265">
        <v>0.1526881312090691</v>
      </c>
      <c r="AA42" s="267">
        <v>0.12884348872191759</v>
      </c>
    </row>
    <row r="43" spans="1:27" s="186" customFormat="1">
      <c r="A43" s="264" t="s">
        <v>698</v>
      </c>
      <c r="B43" s="81">
        <v>167</v>
      </c>
      <c r="C43" s="265">
        <v>0.11342669291338579</v>
      </c>
      <c r="D43" s="265">
        <v>0.1069458677764441</v>
      </c>
      <c r="E43" s="265">
        <v>0.1053998340104155</v>
      </c>
      <c r="F43" s="265">
        <v>0.2386771858536797</v>
      </c>
      <c r="G43" s="266">
        <v>0.74828703712729017</v>
      </c>
      <c r="H43" s="266">
        <v>0.88569991475721865</v>
      </c>
      <c r="I43" s="265">
        <v>7.3936254731996109E-2</v>
      </c>
      <c r="J43" s="265">
        <v>0.32290082269268122</v>
      </c>
      <c r="K43" s="265">
        <v>4.0999999999999988E-2</v>
      </c>
      <c r="L43" s="265">
        <v>0.30137369606398978</v>
      </c>
      <c r="M43" s="265">
        <v>6.0834559273483108E-2</v>
      </c>
      <c r="N43" s="266">
        <v>1.35305640922823</v>
      </c>
      <c r="O43" s="266">
        <v>1.1540190932813921</v>
      </c>
      <c r="P43" s="266">
        <v>9.2867819879380153</v>
      </c>
      <c r="Q43" s="266">
        <v>11.47000595509807</v>
      </c>
      <c r="R43" s="266">
        <v>1.584412248464363</v>
      </c>
      <c r="S43" s="266">
        <v>16.176649935621871</v>
      </c>
      <c r="T43" s="265">
        <v>0.59540458416932873</v>
      </c>
      <c r="U43" s="265">
        <v>1.206516725874352E-2</v>
      </c>
      <c r="V43" s="265">
        <v>1.2576183073203221E-2</v>
      </c>
      <c r="W43" s="265">
        <v>0.62001632101260751</v>
      </c>
      <c r="X43" s="265">
        <v>0.14765497101637151</v>
      </c>
      <c r="Y43" s="265">
        <v>0.21817829604561581</v>
      </c>
      <c r="Z43" s="265">
        <v>0.21817829604561581</v>
      </c>
      <c r="AA43" s="267">
        <v>9.9909400930339939E-2</v>
      </c>
    </row>
    <row r="44" spans="1:27" s="186" customFormat="1">
      <c r="A44" s="264" t="s">
        <v>699</v>
      </c>
      <c r="B44" s="81">
        <v>206</v>
      </c>
      <c r="C44" s="265">
        <v>7.8143093525179855E-2</v>
      </c>
      <c r="D44" s="265">
        <v>0.1033896640713014</v>
      </c>
      <c r="E44" s="265">
        <v>9.5225324603599656E-2</v>
      </c>
      <c r="F44" s="265">
        <v>0.21676331286089681</v>
      </c>
      <c r="G44" s="266">
        <v>0.50397351405040436</v>
      </c>
      <c r="H44" s="266">
        <v>0.78005826604326189</v>
      </c>
      <c r="I44" s="265">
        <v>6.7407600841473583E-2</v>
      </c>
      <c r="J44" s="265">
        <v>0.31468967198399322</v>
      </c>
      <c r="K44" s="265">
        <v>4.0999999999999988E-2</v>
      </c>
      <c r="L44" s="265">
        <v>0.44480755032156738</v>
      </c>
      <c r="M44" s="265">
        <v>5.0974363443569599E-2</v>
      </c>
      <c r="N44" s="266">
        <v>1.216662210452611</v>
      </c>
      <c r="O44" s="266">
        <v>2.2180700930123889</v>
      </c>
      <c r="P44" s="266">
        <v>12.002033654347519</v>
      </c>
      <c r="Q44" s="266">
        <v>22.920882458261872</v>
      </c>
      <c r="R44" s="266">
        <v>3.4230031945559709</v>
      </c>
      <c r="S44" s="266">
        <v>39.722591808345889</v>
      </c>
      <c r="T44" s="265">
        <v>7.5585865924225337E-2</v>
      </c>
      <c r="U44" s="265">
        <v>6.9238054712608743E-2</v>
      </c>
      <c r="V44" s="265">
        <v>5.6984061725301641E-2</v>
      </c>
      <c r="W44" s="265">
        <v>0.95929072812595073</v>
      </c>
      <c r="X44" s="265">
        <v>0.12874142029551161</v>
      </c>
      <c r="Y44" s="265">
        <v>0.39649563044065911</v>
      </c>
      <c r="Z44" s="265">
        <v>0.39649563044065911</v>
      </c>
      <c r="AA44" s="267">
        <v>9.3537169033205553E-2</v>
      </c>
    </row>
    <row r="45" spans="1:27" s="186" customFormat="1">
      <c r="A45" s="264" t="s">
        <v>700</v>
      </c>
      <c r="B45" s="81">
        <v>639</v>
      </c>
      <c r="C45" s="265">
        <v>0.13215739224137921</v>
      </c>
      <c r="D45" s="265">
        <v>0.1432728014853443</v>
      </c>
      <c r="E45" s="265">
        <v>8.8022622646485082E-2</v>
      </c>
      <c r="F45" s="265">
        <v>0.18608642329791941</v>
      </c>
      <c r="G45" s="266">
        <v>0.68490510248440328</v>
      </c>
      <c r="H45" s="266">
        <v>0.89595032706915789</v>
      </c>
      <c r="I45" s="265">
        <v>7.4569730212873955E-2</v>
      </c>
      <c r="J45" s="265">
        <v>0.34668398329402572</v>
      </c>
      <c r="K45" s="265">
        <v>4.0999999999999988E-2</v>
      </c>
      <c r="L45" s="265">
        <v>0.3466426355339266</v>
      </c>
      <c r="M45" s="265">
        <v>5.9280457007099462E-2</v>
      </c>
      <c r="N45" s="266">
        <v>0.76657639108428333</v>
      </c>
      <c r="O45" s="266">
        <v>3.0255533069397211</v>
      </c>
      <c r="P45" s="266">
        <v>12.38824879999046</v>
      </c>
      <c r="Q45" s="266">
        <v>22.434719497924871</v>
      </c>
      <c r="R45" s="266">
        <v>2.375532095346927</v>
      </c>
      <c r="S45" s="266">
        <v>53.147132259234382</v>
      </c>
      <c r="T45" s="265">
        <v>1.2774029579377939E-3</v>
      </c>
      <c r="U45" s="265">
        <v>8.6029528125256494E-2</v>
      </c>
      <c r="V45" s="265">
        <v>5.4600790753230211E-2</v>
      </c>
      <c r="W45" s="265">
        <v>0.57350126755689135</v>
      </c>
      <c r="X45" s="265">
        <v>0.1144396008809518</v>
      </c>
      <c r="Y45" s="265">
        <v>0.5295443807244008</v>
      </c>
      <c r="Z45" s="265">
        <v>0.5295443807244008</v>
      </c>
      <c r="AA45" s="267">
        <v>0.1336062286712825</v>
      </c>
    </row>
    <row r="46" spans="1:27" s="186" customFormat="1">
      <c r="A46" s="264" t="s">
        <v>701</v>
      </c>
      <c r="B46" s="81">
        <v>536</v>
      </c>
      <c r="C46" s="265">
        <v>7.9046677852348993E-2</v>
      </c>
      <c r="D46" s="265">
        <v>0.16390003516815951</v>
      </c>
      <c r="E46" s="265">
        <v>0.2283602986688878</v>
      </c>
      <c r="F46" s="265">
        <v>0.2437540696366774</v>
      </c>
      <c r="G46" s="266">
        <v>0.96411764993168314</v>
      </c>
      <c r="H46" s="266">
        <v>1.030998896825386</v>
      </c>
      <c r="I46" s="265">
        <v>8.2915731823808819E-2</v>
      </c>
      <c r="J46" s="265">
        <v>0.40582521739092331</v>
      </c>
      <c r="K46" s="265">
        <v>4.4999999999999998E-2</v>
      </c>
      <c r="L46" s="265">
        <v>0.1257012406888027</v>
      </c>
      <c r="M46" s="265">
        <v>7.6695942443366125E-2</v>
      </c>
      <c r="N46" s="266">
        <v>1.5955418553932439</v>
      </c>
      <c r="O46" s="266">
        <v>3.4038102627840918</v>
      </c>
      <c r="P46" s="266">
        <v>16.097075198703639</v>
      </c>
      <c r="Q46" s="266">
        <v>20.52086598511368</v>
      </c>
      <c r="R46" s="266">
        <v>5.9640470510314776</v>
      </c>
      <c r="S46" s="266">
        <v>73.768223867514351</v>
      </c>
      <c r="T46" s="265">
        <v>6.7098010188739274E-2</v>
      </c>
      <c r="U46" s="265">
        <v>3.8210498660677959E-2</v>
      </c>
      <c r="V46" s="265">
        <v>3.4724568459938869E-2</v>
      </c>
      <c r="W46" s="265">
        <v>0.30257690201031878</v>
      </c>
      <c r="X46" s="265">
        <v>0.163022096691567</v>
      </c>
      <c r="Y46" s="265">
        <v>0.74393247763807568</v>
      </c>
      <c r="Z46" s="265">
        <v>0.74393247763807568</v>
      </c>
      <c r="AA46" s="267">
        <v>0.1653085138211729</v>
      </c>
    </row>
    <row r="47" spans="1:27" s="186" customFormat="1">
      <c r="A47" s="264" t="s">
        <v>702</v>
      </c>
      <c r="B47" s="81">
        <v>215</v>
      </c>
      <c r="C47" s="265">
        <v>0.1493982926829269</v>
      </c>
      <c r="D47" s="265">
        <v>0.25329954682361061</v>
      </c>
      <c r="E47" s="265">
        <v>0.36826433715592077</v>
      </c>
      <c r="F47" s="265">
        <v>0.19481840674606951</v>
      </c>
      <c r="G47" s="266">
        <v>1.0458294791273941</v>
      </c>
      <c r="H47" s="266">
        <v>1.102463546681717</v>
      </c>
      <c r="I47" s="265">
        <v>8.7332247184930087E-2</v>
      </c>
      <c r="J47" s="265">
        <v>0.4125850801465365</v>
      </c>
      <c r="K47" s="265">
        <v>4.4999999999999998E-2</v>
      </c>
      <c r="L47" s="265">
        <v>0.1080505394465429</v>
      </c>
      <c r="M47" s="265">
        <v>8.1508620551914726E-2</v>
      </c>
      <c r="N47" s="266">
        <v>1.6504961588511899</v>
      </c>
      <c r="O47" s="266">
        <v>8.1241429276532724</v>
      </c>
      <c r="P47" s="266">
        <v>25.296941911617189</v>
      </c>
      <c r="Q47" s="266">
        <v>31.211612588222369</v>
      </c>
      <c r="R47" s="266">
        <v>6.277700229092158</v>
      </c>
      <c r="S47" s="266">
        <v>39.067948897993517</v>
      </c>
      <c r="T47" s="265">
        <v>6.8693161642683645E-2</v>
      </c>
      <c r="U47" s="265">
        <v>3.2573432655560522E-2</v>
      </c>
      <c r="V47" s="265">
        <v>0.14105276792267571</v>
      </c>
      <c r="W47" s="265">
        <v>0.78664349696898694</v>
      </c>
      <c r="X47" s="265">
        <v>0.27329962763586679</v>
      </c>
      <c r="Y47" s="265">
        <v>0.26398537686288281</v>
      </c>
      <c r="Z47" s="265">
        <v>0.26398537686288281</v>
      </c>
      <c r="AA47" s="267">
        <v>0.255921843055534</v>
      </c>
    </row>
    <row r="48" spans="1:27" s="186" customFormat="1">
      <c r="A48" s="264" t="s">
        <v>703</v>
      </c>
      <c r="B48" s="81">
        <v>216</v>
      </c>
      <c r="C48" s="265">
        <v>6.473521978021983E-2</v>
      </c>
      <c r="D48" s="265">
        <v>9.5333696724539424E-2</v>
      </c>
      <c r="E48" s="265">
        <v>0.13442843031225701</v>
      </c>
      <c r="F48" s="265">
        <v>0.24163191786201191</v>
      </c>
      <c r="G48" s="266">
        <v>0.53551730127710184</v>
      </c>
      <c r="H48" s="266">
        <v>0.61395941101204488</v>
      </c>
      <c r="I48" s="265">
        <v>5.7142691600544367E-2</v>
      </c>
      <c r="J48" s="265">
        <v>0.26828099168317632</v>
      </c>
      <c r="K48" s="265">
        <v>4.0999999999999988E-2</v>
      </c>
      <c r="L48" s="265">
        <v>0.29763459747756732</v>
      </c>
      <c r="M48" s="265">
        <v>4.9201892330190712E-2</v>
      </c>
      <c r="N48" s="266">
        <v>1.6633114336015591</v>
      </c>
      <c r="O48" s="266">
        <v>1.0790494527279999</v>
      </c>
      <c r="P48" s="266">
        <v>9.0510422057553352</v>
      </c>
      <c r="Q48" s="266">
        <v>11.052891449289911</v>
      </c>
      <c r="R48" s="266">
        <v>1.3289349091090601</v>
      </c>
      <c r="S48" s="266">
        <v>28.437897170088359</v>
      </c>
      <c r="T48" s="265">
        <v>-1.0624191690262529E-2</v>
      </c>
      <c r="U48" s="265">
        <v>7.2813473157515339E-3</v>
      </c>
      <c r="V48" s="265">
        <v>2.2365132665681488E-2</v>
      </c>
      <c r="W48" s="265">
        <v>0.35874941261738652</v>
      </c>
      <c r="X48" s="265">
        <v>9.6210877012899376E-2</v>
      </c>
      <c r="Y48" s="265">
        <v>0.49785698819062207</v>
      </c>
      <c r="Z48" s="265">
        <v>0.49785698819062207</v>
      </c>
      <c r="AA48" s="267">
        <v>9.5380609226394894E-2</v>
      </c>
    </row>
    <row r="49" spans="1:27" s="186" customFormat="1">
      <c r="A49" s="264" t="s">
        <v>704</v>
      </c>
      <c r="B49" s="81">
        <v>137</v>
      </c>
      <c r="C49" s="265">
        <v>0.1035929523809524</v>
      </c>
      <c r="D49" s="265">
        <v>9.2084209123344918E-2</v>
      </c>
      <c r="E49" s="265">
        <v>0.1158296984043934</v>
      </c>
      <c r="F49" s="265">
        <v>0.1666158228494693</v>
      </c>
      <c r="G49" s="266">
        <v>0.97784811439593333</v>
      </c>
      <c r="H49" s="266">
        <v>0.991516406340754</v>
      </c>
      <c r="I49" s="265">
        <v>8.0475713911858593E-2</v>
      </c>
      <c r="J49" s="265">
        <v>0.2589046978482647</v>
      </c>
      <c r="K49" s="265">
        <v>4.0999999999999988E-2</v>
      </c>
      <c r="L49" s="265">
        <v>0.44928512091235512</v>
      </c>
      <c r="M49" s="265">
        <v>5.8005745694814183E-2</v>
      </c>
      <c r="N49" s="266">
        <v>1.4884238388859741</v>
      </c>
      <c r="O49" s="266">
        <v>0.88721153164972943</v>
      </c>
      <c r="P49" s="266">
        <v>8.8483063123325856</v>
      </c>
      <c r="Q49" s="266">
        <v>9.5204804970148675</v>
      </c>
      <c r="R49" s="266">
        <v>1.0292727525843679</v>
      </c>
      <c r="S49" s="266">
        <v>24.89958571165414</v>
      </c>
      <c r="T49" s="265">
        <v>-1.0044102300193349</v>
      </c>
      <c r="U49" s="265">
        <v>6.9269559277104608E-3</v>
      </c>
      <c r="V49" s="265">
        <v>4.6127268550345884E-3</v>
      </c>
      <c r="W49" s="265">
        <v>6.2941856949857281E-2</v>
      </c>
      <c r="X49" s="265">
        <v>0.11231423959720831</v>
      </c>
      <c r="Y49" s="265">
        <v>0.29033684877235411</v>
      </c>
      <c r="Z49" s="265">
        <v>0.29033684877235411</v>
      </c>
      <c r="AA49" s="267">
        <v>9.2470212745935629E-2</v>
      </c>
    </row>
    <row r="50" spans="1:27" s="186" customFormat="1">
      <c r="A50" s="264" t="s">
        <v>705</v>
      </c>
      <c r="B50" s="81">
        <v>223</v>
      </c>
      <c r="C50" s="265">
        <v>5.8856045197740098E-2</v>
      </c>
      <c r="D50" s="265">
        <v>8.7235639447801494E-2</v>
      </c>
      <c r="E50" s="265">
        <v>9.6297642457583363E-2</v>
      </c>
      <c r="F50" s="265">
        <v>0.18045735376321359</v>
      </c>
      <c r="G50" s="266">
        <v>0.50236975046482646</v>
      </c>
      <c r="H50" s="266">
        <v>0.55545646202950727</v>
      </c>
      <c r="I50" s="265">
        <v>5.3527209353423547E-2</v>
      </c>
      <c r="J50" s="265">
        <v>0.24733885542106421</v>
      </c>
      <c r="K50" s="265">
        <v>3.5499999999999997E-2</v>
      </c>
      <c r="L50" s="265">
        <v>0.22827737821330521</v>
      </c>
      <c r="M50" s="265">
        <v>4.7329316605592552E-2</v>
      </c>
      <c r="N50" s="266">
        <v>1.325687110806028</v>
      </c>
      <c r="O50" s="266">
        <v>1.1122383340104951</v>
      </c>
      <c r="P50" s="266">
        <v>10.561377706227249</v>
      </c>
      <c r="Q50" s="266">
        <v>12.532749511124189</v>
      </c>
      <c r="R50" s="266">
        <v>1.295297476903515</v>
      </c>
      <c r="S50" s="266">
        <v>42.814355124517903</v>
      </c>
      <c r="T50" s="265">
        <v>-0.37719049801940602</v>
      </c>
      <c r="U50" s="265">
        <v>8.5848441649013073E-3</v>
      </c>
      <c r="V50" s="265">
        <v>1.39509809969964E-3</v>
      </c>
      <c r="W50" s="265">
        <v>0.1163659876199962</v>
      </c>
      <c r="X50" s="265">
        <v>9.5856229206603361E-2</v>
      </c>
      <c r="Y50" s="265">
        <v>0.3663809997712803</v>
      </c>
      <c r="Z50" s="265">
        <v>0.36638099977128041</v>
      </c>
      <c r="AA50" s="267">
        <v>8.7278858460586348E-2</v>
      </c>
    </row>
    <row r="51" spans="1:27" s="186" customFormat="1">
      <c r="A51" s="264" t="s">
        <v>706</v>
      </c>
      <c r="B51" s="81">
        <v>1066</v>
      </c>
      <c r="C51" s="265">
        <v>0.1067090436590436</v>
      </c>
      <c r="D51" s="265">
        <v>0.18769549885696851</v>
      </c>
      <c r="E51" s="265">
        <v>5.2704334186546402E-2</v>
      </c>
      <c r="F51" s="265">
        <v>0.1679736095327051</v>
      </c>
      <c r="G51" s="266">
        <v>0.54927341031962462</v>
      </c>
      <c r="H51" s="266">
        <v>0.81226279400609269</v>
      </c>
      <c r="I51" s="265">
        <v>6.9397840669576522E-2</v>
      </c>
      <c r="J51" s="265">
        <v>0.37106781549097451</v>
      </c>
      <c r="K51" s="265">
        <v>4.0999999999999988E-2</v>
      </c>
      <c r="L51" s="265">
        <v>0.47765659005198652</v>
      </c>
      <c r="M51" s="265">
        <v>5.08003574411292E-2</v>
      </c>
      <c r="N51" s="266">
        <v>0.3119073724447553</v>
      </c>
      <c r="O51" s="266">
        <v>4.8772914157786156</v>
      </c>
      <c r="P51" s="266">
        <v>20.144524246716319</v>
      </c>
      <c r="Q51" s="266">
        <v>24.683910064511458</v>
      </c>
      <c r="R51" s="266">
        <v>1.355349725926396</v>
      </c>
      <c r="S51" s="266">
        <v>119.48178666794971</v>
      </c>
      <c r="T51" s="265" t="s">
        <v>188</v>
      </c>
      <c r="U51" s="265">
        <v>2.603788992469188E-2</v>
      </c>
      <c r="V51" s="265">
        <v>0.14361125474009809</v>
      </c>
      <c r="W51" s="265">
        <v>1.1990457022408321</v>
      </c>
      <c r="X51" s="265">
        <v>0.10247498353682161</v>
      </c>
      <c r="Y51" s="265">
        <v>0.48832724110764092</v>
      </c>
      <c r="Z51" s="265">
        <v>0.48832724110764092</v>
      </c>
      <c r="AA51" s="267">
        <v>0.18264298449008171</v>
      </c>
    </row>
    <row r="52" spans="1:27" s="186" customFormat="1">
      <c r="A52" s="264" t="s">
        <v>707</v>
      </c>
      <c r="B52" s="81">
        <v>1332</v>
      </c>
      <c r="C52" s="265">
        <v>5.5072226804123742E-2</v>
      </c>
      <c r="D52" s="265">
        <v>9.0187537746350119E-2</v>
      </c>
      <c r="E52" s="265">
        <v>0.12219377289173421</v>
      </c>
      <c r="F52" s="265">
        <v>0.23770177268803111</v>
      </c>
      <c r="G52" s="266">
        <v>1.164533521118772</v>
      </c>
      <c r="H52" s="266">
        <v>1.25197816331143</v>
      </c>
      <c r="I52" s="265">
        <v>9.6572250492646353E-2</v>
      </c>
      <c r="J52" s="265">
        <v>0.35086529691748403</v>
      </c>
      <c r="K52" s="265">
        <v>4.0999999999999988E-2</v>
      </c>
      <c r="L52" s="265">
        <v>0.18057072971435081</v>
      </c>
      <c r="M52" s="265">
        <v>8.463485489032041E-2</v>
      </c>
      <c r="N52" s="266">
        <v>1.502219459869776</v>
      </c>
      <c r="O52" s="266">
        <v>1.7646471241437041</v>
      </c>
      <c r="P52" s="266">
        <v>12.211193729829089</v>
      </c>
      <c r="Q52" s="266">
        <v>17.970811515180689</v>
      </c>
      <c r="R52" s="266">
        <v>2.540436778141212</v>
      </c>
      <c r="S52" s="266">
        <v>37.296807056082251</v>
      </c>
      <c r="T52" s="265">
        <v>0.25257472815729831</v>
      </c>
      <c r="U52" s="265">
        <v>4.3177027061891138E-2</v>
      </c>
      <c r="V52" s="265">
        <v>5.0964659542782738E-2</v>
      </c>
      <c r="W52" s="265">
        <v>0.96449552970844343</v>
      </c>
      <c r="X52" s="265">
        <v>0.10330478381311579</v>
      </c>
      <c r="Y52" s="265">
        <v>0.4450182292544439</v>
      </c>
      <c r="Z52" s="265">
        <v>0.4450182292544439</v>
      </c>
      <c r="AA52" s="267">
        <v>9.8066145253184939E-2</v>
      </c>
    </row>
    <row r="53" spans="1:27" s="186" customFormat="1">
      <c r="A53" s="264" t="s">
        <v>708</v>
      </c>
      <c r="B53" s="81">
        <v>1529</v>
      </c>
      <c r="C53" s="265">
        <v>0.1140489587852495</v>
      </c>
      <c r="D53" s="265">
        <v>8.9652793547414067E-2</v>
      </c>
      <c r="E53" s="265">
        <v>0.1009664880658047</v>
      </c>
      <c r="F53" s="265">
        <v>0.31330142204744832</v>
      </c>
      <c r="G53" s="266">
        <v>1.0940598676426929</v>
      </c>
      <c r="H53" s="266">
        <v>1.334635891521627</v>
      </c>
      <c r="I53" s="265">
        <v>0.10168049809603651</v>
      </c>
      <c r="J53" s="265">
        <v>0.712858057047975</v>
      </c>
      <c r="K53" s="265">
        <v>5.2499999999999998E-2</v>
      </c>
      <c r="L53" s="265">
        <v>0.31238212001155818</v>
      </c>
      <c r="M53" s="265">
        <v>8.2102574083316296E-2</v>
      </c>
      <c r="N53" s="266">
        <v>1.162130250650294</v>
      </c>
      <c r="O53" s="266">
        <v>1.259531190625973</v>
      </c>
      <c r="P53" s="266">
        <v>7.5705043252279367</v>
      </c>
      <c r="Q53" s="266">
        <v>13.19651570579699</v>
      </c>
      <c r="R53" s="266">
        <v>1.441078382545304</v>
      </c>
      <c r="S53" s="266">
        <v>155.3781782004618</v>
      </c>
      <c r="T53" s="265">
        <v>9.4570400802190341E-2</v>
      </c>
      <c r="U53" s="265">
        <v>7.8914957771114805E-2</v>
      </c>
      <c r="V53" s="265">
        <v>4.5677057636889992E-2</v>
      </c>
      <c r="W53" s="265">
        <v>0.7683877805591145</v>
      </c>
      <c r="X53" s="265">
        <v>7.5597448115565402E-2</v>
      </c>
      <c r="Y53" s="265">
        <v>0.76721546206479807</v>
      </c>
      <c r="Z53" s="265">
        <v>0.76721546206479807</v>
      </c>
      <c r="AA53" s="267">
        <v>9.0792672308978875E-2</v>
      </c>
    </row>
    <row r="54" spans="1:27" s="186" customFormat="1">
      <c r="A54" s="264" t="s">
        <v>709</v>
      </c>
      <c r="B54" s="81">
        <v>146</v>
      </c>
      <c r="C54" s="265">
        <v>3.1321192660550473E-2</v>
      </c>
      <c r="D54" s="265">
        <v>7.238159733438726E-2</v>
      </c>
      <c r="E54" s="265">
        <v>0.1316129340835954</v>
      </c>
      <c r="F54" s="265">
        <v>0.26840993310420153</v>
      </c>
      <c r="G54" s="266">
        <v>0.93764471832893792</v>
      </c>
      <c r="H54" s="266">
        <v>1.044563420899808</v>
      </c>
      <c r="I54" s="265">
        <v>8.3754019411608122E-2</v>
      </c>
      <c r="J54" s="265">
        <v>0.36388417310049781</v>
      </c>
      <c r="K54" s="265">
        <v>4.0999999999999988E-2</v>
      </c>
      <c r="L54" s="265">
        <v>0.2524791057965059</v>
      </c>
      <c r="M54" s="265">
        <v>7.0299150483581069E-2</v>
      </c>
      <c r="N54" s="266">
        <v>2.0861794362128552</v>
      </c>
      <c r="O54" s="266">
        <v>1.0639312845321149</v>
      </c>
      <c r="P54" s="266">
        <v>9.2902837435792787</v>
      </c>
      <c r="Q54" s="266">
        <v>14.132162810733931</v>
      </c>
      <c r="R54" s="266">
        <v>2.0260981588328129</v>
      </c>
      <c r="S54" s="266">
        <v>28.860055286740959</v>
      </c>
      <c r="T54" s="265">
        <v>0.13644124446470529</v>
      </c>
      <c r="U54" s="265">
        <v>2.6065122049070369E-2</v>
      </c>
      <c r="V54" s="265">
        <v>9.4284151273492049E-3</v>
      </c>
      <c r="W54" s="265">
        <v>0.34865185377658819</v>
      </c>
      <c r="X54" s="265">
        <v>9.1890479402296527E-2</v>
      </c>
      <c r="Y54" s="265">
        <v>0.4720322109333745</v>
      </c>
      <c r="Z54" s="265">
        <v>0.47203221093337461</v>
      </c>
      <c r="AA54" s="267">
        <v>7.5350733944970966E-2</v>
      </c>
    </row>
    <row r="55" spans="1:27" s="186" customFormat="1">
      <c r="A55" s="264" t="s">
        <v>710</v>
      </c>
      <c r="B55" s="81">
        <v>49</v>
      </c>
      <c r="C55" s="265">
        <v>7.5078048780487794E-3</v>
      </c>
      <c r="D55" s="265">
        <v>0.13109959541353319</v>
      </c>
      <c r="E55" s="265">
        <v>0.1369516653438469</v>
      </c>
      <c r="F55" s="265">
        <v>0.39574741724331258</v>
      </c>
      <c r="G55" s="266">
        <v>1.1401792895983081</v>
      </c>
      <c r="H55" s="266">
        <v>1.295786098156223</v>
      </c>
      <c r="I55" s="265">
        <v>9.9279580866054595E-2</v>
      </c>
      <c r="J55" s="265">
        <v>0.28815746926784219</v>
      </c>
      <c r="K55" s="265">
        <v>4.0999999999999988E-2</v>
      </c>
      <c r="L55" s="265">
        <v>0.20730831057029131</v>
      </c>
      <c r="M55" s="265">
        <v>8.5013331747488985E-2</v>
      </c>
      <c r="N55" s="266">
        <v>1.3818883044795369</v>
      </c>
      <c r="O55" s="266">
        <v>1.422094487374125</v>
      </c>
      <c r="P55" s="266">
        <v>6.7663076637139996</v>
      </c>
      <c r="Q55" s="266">
        <v>11.00817230802131</v>
      </c>
      <c r="R55" s="266">
        <v>1.7422802073040611</v>
      </c>
      <c r="S55" s="266">
        <v>23.561173591134491</v>
      </c>
      <c r="T55" s="265">
        <v>2.7506633137293731E-2</v>
      </c>
      <c r="U55" s="265">
        <v>9.0299450707583162E-2</v>
      </c>
      <c r="V55" s="265">
        <v>3.4419795492331928E-2</v>
      </c>
      <c r="W55" s="265">
        <v>0.39930152934965218</v>
      </c>
      <c r="X55" s="265">
        <v>0.14151899193172249</v>
      </c>
      <c r="Y55" s="265">
        <v>0.63508955318017646</v>
      </c>
      <c r="Z55" s="265">
        <v>0.63508955318017646</v>
      </c>
      <c r="AA55" s="267">
        <v>0.12918851521834029</v>
      </c>
    </row>
    <row r="56" spans="1:27" s="186" customFormat="1">
      <c r="A56" s="264" t="s">
        <v>711</v>
      </c>
      <c r="B56" s="81">
        <v>773</v>
      </c>
      <c r="C56" s="265">
        <v>-9.6020610687023149E-3</v>
      </c>
      <c r="D56" s="265">
        <v>0.2198133859894032</v>
      </c>
      <c r="E56" s="265">
        <v>9.0981737549868727E-2</v>
      </c>
      <c r="F56" s="265">
        <v>0.27002127840639989</v>
      </c>
      <c r="G56" s="266">
        <v>1.1443204852332469</v>
      </c>
      <c r="H56" s="266">
        <v>1.5514780345232331</v>
      </c>
      <c r="I56" s="265">
        <v>0.1150813425335358</v>
      </c>
      <c r="J56" s="265">
        <v>0.63687281191528433</v>
      </c>
      <c r="K56" s="265">
        <v>4.4999999999999998E-2</v>
      </c>
      <c r="L56" s="265">
        <v>0.36207776872400421</v>
      </c>
      <c r="M56" s="265">
        <v>8.5519017004517389E-2</v>
      </c>
      <c r="N56" s="266">
        <v>0.43211815184752728</v>
      </c>
      <c r="O56" s="266">
        <v>2.774602980391466</v>
      </c>
      <c r="P56" s="266">
        <v>5.1360036625370551</v>
      </c>
      <c r="Q56" s="266">
        <v>12.25621747670835</v>
      </c>
      <c r="R56" s="266">
        <v>1.111509113483411</v>
      </c>
      <c r="S56" s="266">
        <v>21.49426783629751</v>
      </c>
      <c r="T56" s="265">
        <v>3.0222768100608768E-2</v>
      </c>
      <c r="U56" s="265">
        <v>0.35122904141823141</v>
      </c>
      <c r="V56" s="265">
        <v>0.1110725038586735</v>
      </c>
      <c r="W56" s="265">
        <v>0.66129005414821262</v>
      </c>
      <c r="X56" s="265">
        <v>6.2227442417112103E-2</v>
      </c>
      <c r="Y56" s="265">
        <v>0.56667991056129452</v>
      </c>
      <c r="Z56" s="265">
        <v>0.56667991056129452</v>
      </c>
      <c r="AA56" s="267">
        <v>0.2231055728913672</v>
      </c>
    </row>
    <row r="57" spans="1:27" s="186" customFormat="1">
      <c r="A57" s="264" t="s">
        <v>712</v>
      </c>
      <c r="B57" s="81">
        <v>160</v>
      </c>
      <c r="C57" s="265">
        <v>0.16266342592592589</v>
      </c>
      <c r="D57" s="265">
        <v>0.13764106149209221</v>
      </c>
      <c r="E57" s="265">
        <v>7.2426337450483824E-2</v>
      </c>
      <c r="F57" s="265">
        <v>0.17466296152727731</v>
      </c>
      <c r="G57" s="266">
        <v>0.82649851166714305</v>
      </c>
      <c r="H57" s="266">
        <v>1.284519579311278</v>
      </c>
      <c r="I57" s="265">
        <v>9.8583310001436983E-2</v>
      </c>
      <c r="J57" s="265">
        <v>0.33564192954750238</v>
      </c>
      <c r="K57" s="265">
        <v>4.0999999999999988E-2</v>
      </c>
      <c r="L57" s="265">
        <v>0.44484075792465522</v>
      </c>
      <c r="M57" s="265">
        <v>6.8280619670335288E-2</v>
      </c>
      <c r="N57" s="266">
        <v>0.58866678590217536</v>
      </c>
      <c r="O57" s="266">
        <v>2.8562332097373329</v>
      </c>
      <c r="P57" s="266">
        <v>12.79694381648679</v>
      </c>
      <c r="Q57" s="266">
        <v>20.58021071392556</v>
      </c>
      <c r="R57" s="266">
        <v>1.571090493924707</v>
      </c>
      <c r="S57" s="266">
        <v>25.88813288146477</v>
      </c>
      <c r="T57" s="265">
        <v>3.2992409412551348E-2</v>
      </c>
      <c r="U57" s="265">
        <v>0.17096661654853029</v>
      </c>
      <c r="V57" s="265">
        <v>0.1059317112484866</v>
      </c>
      <c r="W57" s="265">
        <v>0.92242330504246073</v>
      </c>
      <c r="X57" s="265">
        <v>7.2024209660029273E-2</v>
      </c>
      <c r="Y57" s="265">
        <v>1.2474336829679871</v>
      </c>
      <c r="Z57" s="265">
        <v>1.2474336829679871</v>
      </c>
      <c r="AA57" s="267">
        <v>0.13694775348672561</v>
      </c>
    </row>
    <row r="58" spans="1:27" s="186" customFormat="1">
      <c r="A58" s="264" t="s">
        <v>713</v>
      </c>
      <c r="B58" s="81">
        <v>508</v>
      </c>
      <c r="C58" s="265">
        <v>-9.0040625000000034E-3</v>
      </c>
      <c r="D58" s="265">
        <v>4.0123058864194143E-2</v>
      </c>
      <c r="E58" s="265">
        <v>8.2190649241649566E-2</v>
      </c>
      <c r="F58" s="265">
        <v>0.25931619515614268</v>
      </c>
      <c r="G58" s="266">
        <v>1.0641191695035239</v>
      </c>
      <c r="H58" s="266">
        <v>1.408566519282596</v>
      </c>
      <c r="I58" s="265">
        <v>0.1062494108916644</v>
      </c>
      <c r="J58" s="265">
        <v>0.44967303754895699</v>
      </c>
      <c r="K58" s="265">
        <v>4.4999999999999998E-2</v>
      </c>
      <c r="L58" s="265">
        <v>0.35827861367981528</v>
      </c>
      <c r="M58" s="265">
        <v>8.0161564701486443E-2</v>
      </c>
      <c r="N58" s="266">
        <v>2.241744539594372</v>
      </c>
      <c r="O58" s="266">
        <v>0.73889907503292751</v>
      </c>
      <c r="P58" s="266">
        <v>9.4509764852390035</v>
      </c>
      <c r="Q58" s="266">
        <v>17.827279620200901</v>
      </c>
      <c r="R58" s="266">
        <v>1.4267561678950911</v>
      </c>
      <c r="S58" s="266">
        <v>32.971714339756353</v>
      </c>
      <c r="T58" s="265">
        <v>5.7375218269329363E-2</v>
      </c>
      <c r="U58" s="265">
        <v>4.2437971571063618E-2</v>
      </c>
      <c r="V58" s="265">
        <v>2.2712263078881752E-2</v>
      </c>
      <c r="W58" s="265">
        <v>0.69998267234644718</v>
      </c>
      <c r="X58" s="265">
        <v>1.4502284171153399E-4</v>
      </c>
      <c r="Y58" s="265">
        <v>6.3520856311457636E-3</v>
      </c>
      <c r="Z58" s="265">
        <v>6.3520856311457541E-3</v>
      </c>
      <c r="AA58" s="267">
        <v>4.0881253051559117E-2</v>
      </c>
    </row>
    <row r="59" spans="1:27" s="186" customFormat="1">
      <c r="A59" s="264" t="s">
        <v>714</v>
      </c>
      <c r="B59" s="81">
        <v>400</v>
      </c>
      <c r="C59" s="265">
        <v>5.8877880794702013E-2</v>
      </c>
      <c r="D59" s="265">
        <v>8.9463540695019286E-2</v>
      </c>
      <c r="E59" s="265">
        <v>0.11674190130975309</v>
      </c>
      <c r="F59" s="265">
        <v>0.22958340808282579</v>
      </c>
      <c r="G59" s="266">
        <v>0.60732094340807496</v>
      </c>
      <c r="H59" s="266">
        <v>0.81689928226548547</v>
      </c>
      <c r="I59" s="265">
        <v>6.9684375644007007E-2</v>
      </c>
      <c r="J59" s="265">
        <v>0.35407118177715902</v>
      </c>
      <c r="K59" s="265">
        <v>4.0999999999999988E-2</v>
      </c>
      <c r="L59" s="265">
        <v>0.35422384567092169</v>
      </c>
      <c r="M59" s="265">
        <v>5.5791229130883017E-2</v>
      </c>
      <c r="N59" s="266">
        <v>1.5509105252362709</v>
      </c>
      <c r="O59" s="266">
        <v>1.4305643992275621</v>
      </c>
      <c r="P59" s="266">
        <v>9.3287206810476739</v>
      </c>
      <c r="Q59" s="266">
        <v>15.57817874342177</v>
      </c>
      <c r="R59" s="266">
        <v>2.2439903531804561</v>
      </c>
      <c r="S59" s="266">
        <v>31.03575502578515</v>
      </c>
      <c r="T59" s="265">
        <v>0.13829717966125121</v>
      </c>
      <c r="U59" s="265">
        <v>5.9509399657867147E-2</v>
      </c>
      <c r="V59" s="265">
        <v>8.4977305988162638E-2</v>
      </c>
      <c r="W59" s="265">
        <v>1.242325783577912</v>
      </c>
      <c r="X59" s="265">
        <v>9.9197794966757416E-2</v>
      </c>
      <c r="Y59" s="265">
        <v>0.52442369878177542</v>
      </c>
      <c r="Z59" s="265">
        <v>0.52442369878177542</v>
      </c>
      <c r="AA59" s="267">
        <v>9.1399484726740005E-2</v>
      </c>
    </row>
    <row r="60" spans="1:27" s="186" customFormat="1">
      <c r="A60" s="264" t="s">
        <v>715</v>
      </c>
      <c r="B60" s="81">
        <v>279</v>
      </c>
      <c r="C60" s="265">
        <v>6.5150405405405371E-2</v>
      </c>
      <c r="D60" s="265">
        <v>7.6726922232164818E-2</v>
      </c>
      <c r="E60" s="265">
        <v>6.5063860728856324E-2</v>
      </c>
      <c r="F60" s="265">
        <v>0.2191175138868543</v>
      </c>
      <c r="G60" s="266">
        <v>0.74090564185291286</v>
      </c>
      <c r="H60" s="266">
        <v>1.0267113824102909</v>
      </c>
      <c r="I60" s="265">
        <v>8.2650763432956006E-2</v>
      </c>
      <c r="J60" s="265">
        <v>0.3534610963372517</v>
      </c>
      <c r="K60" s="265">
        <v>4.0999999999999988E-2</v>
      </c>
      <c r="L60" s="265">
        <v>0.39731251534261181</v>
      </c>
      <c r="M60" s="265">
        <v>6.191591187330308E-2</v>
      </c>
      <c r="N60" s="266">
        <v>0.98019274675302837</v>
      </c>
      <c r="O60" s="266">
        <v>1.3040643317926539</v>
      </c>
      <c r="P60" s="266">
        <v>9.4236982882191604</v>
      </c>
      <c r="Q60" s="266">
        <v>16.72555332449765</v>
      </c>
      <c r="R60" s="266">
        <v>1.268311287362681</v>
      </c>
      <c r="S60" s="266">
        <v>31.859042795805639</v>
      </c>
      <c r="T60" s="265">
        <v>0.1879279234724347</v>
      </c>
      <c r="U60" s="265">
        <v>6.8800949365438499E-2</v>
      </c>
      <c r="V60" s="265">
        <v>6.815858382770143E-2</v>
      </c>
      <c r="W60" s="265">
        <v>1.232215587387409</v>
      </c>
      <c r="X60" s="265">
        <v>5.4321572075995243E-2</v>
      </c>
      <c r="Y60" s="265">
        <v>0.72548430935517672</v>
      </c>
      <c r="Z60" s="265">
        <v>0.72548430935517672</v>
      </c>
      <c r="AA60" s="267">
        <v>7.7167483191109817E-2</v>
      </c>
    </row>
    <row r="61" spans="1:27" s="186" customFormat="1">
      <c r="A61" s="264" t="s">
        <v>716</v>
      </c>
      <c r="B61" s="81">
        <v>538</v>
      </c>
      <c r="C61" s="265">
        <v>6.9715902777777797E-2</v>
      </c>
      <c r="D61" s="265">
        <v>0.126201945434601</v>
      </c>
      <c r="E61" s="265">
        <v>6.1686329644961603E-2</v>
      </c>
      <c r="F61" s="265">
        <v>0.19465700965260929</v>
      </c>
      <c r="G61" s="266">
        <v>0.50506049862163127</v>
      </c>
      <c r="H61" s="266">
        <v>0.82473736705364742</v>
      </c>
      <c r="I61" s="265">
        <v>7.0168769283915411E-2</v>
      </c>
      <c r="J61" s="265">
        <v>0.26597166796336119</v>
      </c>
      <c r="K61" s="265">
        <v>4.0999999999999988E-2</v>
      </c>
      <c r="L61" s="265">
        <v>0.48634615560208538</v>
      </c>
      <c r="M61" s="265">
        <v>5.0858021037459782E-2</v>
      </c>
      <c r="N61" s="266">
        <v>0.60279799819930147</v>
      </c>
      <c r="O61" s="266">
        <v>2.2542214957160431</v>
      </c>
      <c r="P61" s="266">
        <v>9.6806921248123174</v>
      </c>
      <c r="Q61" s="266">
        <v>17.844814136467281</v>
      </c>
      <c r="R61" s="266">
        <v>1.3300226422708621</v>
      </c>
      <c r="S61" s="266">
        <v>29.29091828575206</v>
      </c>
      <c r="T61" s="265">
        <v>1.4584068958973521E-2</v>
      </c>
      <c r="U61" s="265">
        <v>0.15902933532528229</v>
      </c>
      <c r="V61" s="265">
        <v>8.2377207629714497E-2</v>
      </c>
      <c r="W61" s="265">
        <v>0.91175141853004038</v>
      </c>
      <c r="X61" s="265">
        <v>7.856767530460744E-2</v>
      </c>
      <c r="Y61" s="265">
        <v>0.68965688450109697</v>
      </c>
      <c r="Z61" s="265">
        <v>0.68965688450109697</v>
      </c>
      <c r="AA61" s="267">
        <v>0.12440659769151539</v>
      </c>
    </row>
    <row r="62" spans="1:27" s="186" customFormat="1">
      <c r="A62" s="264" t="s">
        <v>717</v>
      </c>
      <c r="B62" s="81">
        <v>844</v>
      </c>
      <c r="C62" s="265">
        <v>0.18559461883408071</v>
      </c>
      <c r="D62" s="265">
        <v>9.7111699491282177E-2</v>
      </c>
      <c r="E62" s="265">
        <v>6.8051884610602964E-2</v>
      </c>
      <c r="F62" s="265">
        <v>0.34321232051656553</v>
      </c>
      <c r="G62" s="266">
        <v>0.99834320467755722</v>
      </c>
      <c r="H62" s="266">
        <v>1.0764491693911831</v>
      </c>
      <c r="I62" s="265">
        <v>8.5724558668375098E-2</v>
      </c>
      <c r="J62" s="265">
        <v>0.8136897019026077</v>
      </c>
      <c r="K62" s="265">
        <v>7.7499999999999999E-2</v>
      </c>
      <c r="L62" s="265">
        <v>0.16000992472075451</v>
      </c>
      <c r="M62" s="265">
        <v>8.1221549979361346E-2</v>
      </c>
      <c r="N62" s="266">
        <v>0.71640269306383098</v>
      </c>
      <c r="O62" s="266">
        <v>3.13654165331937</v>
      </c>
      <c r="P62" s="266">
        <v>10.99996267026761</v>
      </c>
      <c r="Q62" s="266">
        <v>29.810712292358659</v>
      </c>
      <c r="R62" s="266">
        <v>2.0400298983499821</v>
      </c>
      <c r="S62" s="266">
        <v>75.406825930446416</v>
      </c>
      <c r="T62" s="265">
        <v>0.1229980858122217</v>
      </c>
      <c r="U62" s="265">
        <v>0.1740760619960503</v>
      </c>
      <c r="V62" s="265">
        <v>7.5107259771847137E-2</v>
      </c>
      <c r="W62" s="265">
        <v>1.688950804916777</v>
      </c>
      <c r="X62" s="265">
        <v>3.5596731925167817E-2</v>
      </c>
      <c r="Y62" s="265">
        <v>1.0012416837278431</v>
      </c>
      <c r="Z62" s="265">
        <v>1.0012416837278431</v>
      </c>
      <c r="AA62" s="267">
        <v>9.8773382689714598E-2</v>
      </c>
    </row>
    <row r="63" spans="1:27" s="186" customFormat="1">
      <c r="A63" s="264" t="s">
        <v>718</v>
      </c>
      <c r="B63" s="81">
        <v>352</v>
      </c>
      <c r="C63" s="265">
        <v>9.6152964426877551E-3</v>
      </c>
      <c r="D63" s="265">
        <v>5.9456658645740047E-2</v>
      </c>
      <c r="E63" s="265">
        <v>7.2424863331369702E-2</v>
      </c>
      <c r="F63" s="265">
        <v>0.24197154470385421</v>
      </c>
      <c r="G63" s="266">
        <v>0.85202174609552306</v>
      </c>
      <c r="H63" s="266">
        <v>0.95661884595707092</v>
      </c>
      <c r="I63" s="265">
        <v>7.8319044680146985E-2</v>
      </c>
      <c r="J63" s="265">
        <v>0.37946234248709482</v>
      </c>
      <c r="K63" s="265">
        <v>4.0999999999999988E-2</v>
      </c>
      <c r="L63" s="265">
        <v>0.28480111968184058</v>
      </c>
      <c r="M63" s="265">
        <v>6.4689589571696932E-2</v>
      </c>
      <c r="N63" s="266">
        <v>1.4619259113046701</v>
      </c>
      <c r="O63" s="266">
        <v>1.217747698196076</v>
      </c>
      <c r="P63" s="266">
        <v>10.07250134540489</v>
      </c>
      <c r="Q63" s="266">
        <v>19.765394967884891</v>
      </c>
      <c r="R63" s="266">
        <v>1.43820629801952</v>
      </c>
      <c r="S63" s="266">
        <v>88.491185794259096</v>
      </c>
      <c r="T63" s="265">
        <v>0.12508062081341539</v>
      </c>
      <c r="U63" s="265">
        <v>3.5417281465972117E-2</v>
      </c>
      <c r="V63" s="265">
        <v>1.8512873041220599E-2</v>
      </c>
      <c r="W63" s="265">
        <v>0.37610889715056672</v>
      </c>
      <c r="X63" s="265">
        <v>2.7924217771103689E-2</v>
      </c>
      <c r="Y63" s="265">
        <v>1.2654456558623659</v>
      </c>
      <c r="Z63" s="265">
        <v>1.2654456558623659</v>
      </c>
      <c r="AA63" s="267">
        <v>5.835447554896081E-2</v>
      </c>
    </row>
    <row r="64" spans="1:27" s="186" customFormat="1">
      <c r="A64" s="264" t="s">
        <v>719</v>
      </c>
      <c r="B64" s="81">
        <v>753</v>
      </c>
      <c r="C64" s="265">
        <v>0.1128328278688525</v>
      </c>
      <c r="D64" s="265">
        <v>0.35993627620012691</v>
      </c>
      <c r="E64" s="265">
        <v>3.4826624471684921E-2</v>
      </c>
      <c r="F64" s="265">
        <v>3.3731099625356559E-2</v>
      </c>
      <c r="G64" s="266">
        <v>0.34523746097470093</v>
      </c>
      <c r="H64" s="266">
        <v>0.53248496028441905</v>
      </c>
      <c r="I64" s="265">
        <v>5.2107570545577089E-2</v>
      </c>
      <c r="J64" s="265">
        <v>0.18536628816240469</v>
      </c>
      <c r="K64" s="265">
        <v>3.5499999999999997E-2</v>
      </c>
      <c r="L64" s="265">
        <v>0.43483135318088062</v>
      </c>
      <c r="M64" s="265">
        <v>4.0918894321451113E-2</v>
      </c>
      <c r="N64" s="266">
        <v>0.1082419009880894</v>
      </c>
      <c r="O64" s="266">
        <v>13.77670810237405</v>
      </c>
      <c r="P64" s="266">
        <v>23.058377813586251</v>
      </c>
      <c r="Q64" s="266">
        <v>36.573947320283118</v>
      </c>
      <c r="R64" s="266">
        <v>1.674959056358782</v>
      </c>
      <c r="S64" s="266">
        <v>65.475395130064754</v>
      </c>
      <c r="T64" s="265">
        <v>0.66892864020878162</v>
      </c>
      <c r="U64" s="265">
        <v>6.2952891245366238E-2</v>
      </c>
      <c r="V64" s="265">
        <v>1.6511084651054341E-2</v>
      </c>
      <c r="W64" s="265">
        <v>5.611043269263187E-2</v>
      </c>
      <c r="X64" s="265">
        <v>6.1141466146402978E-2</v>
      </c>
      <c r="Y64" s="265">
        <v>1.1869396388310509</v>
      </c>
      <c r="Z64" s="265">
        <v>1.1869396388310509</v>
      </c>
      <c r="AA64" s="267">
        <v>0.33109570038650638</v>
      </c>
    </row>
    <row r="65" spans="1:27" s="186" customFormat="1">
      <c r="A65" s="264" t="s">
        <v>720</v>
      </c>
      <c r="B65" s="81">
        <v>842</v>
      </c>
      <c r="C65" s="265">
        <v>0.1209779900332226</v>
      </c>
      <c r="D65" s="265">
        <v>0.20383784791336959</v>
      </c>
      <c r="E65" s="265">
        <v>9.1069837847680135E-2</v>
      </c>
      <c r="F65" s="265">
        <v>0.35445661869594042</v>
      </c>
      <c r="G65" s="266">
        <v>0.6358633022030139</v>
      </c>
      <c r="H65" s="266">
        <v>1.075236587211654</v>
      </c>
      <c r="I65" s="265">
        <v>8.5649621089680189E-2</v>
      </c>
      <c r="J65" s="265">
        <v>0.33036699251442658</v>
      </c>
      <c r="K65" s="265">
        <v>4.0999999999999988E-2</v>
      </c>
      <c r="L65" s="265">
        <v>0.60016794327375422</v>
      </c>
      <c r="M65" s="265">
        <v>5.252838021405884E-2</v>
      </c>
      <c r="N65" s="266">
        <v>0.54583979679799854</v>
      </c>
      <c r="O65" s="266">
        <v>2.101945836415799</v>
      </c>
      <c r="P65" s="266">
        <v>9.4522389457786389</v>
      </c>
      <c r="Q65" s="266">
        <v>10.10802113561833</v>
      </c>
      <c r="R65" s="266">
        <v>0.85552048207704723</v>
      </c>
      <c r="S65" s="266">
        <v>48.490655277372937</v>
      </c>
      <c r="T65" s="265">
        <v>1.613107634403609</v>
      </c>
      <c r="U65" s="265">
        <v>2.908690315039265E-2</v>
      </c>
      <c r="V65" s="265">
        <v>4.8785443080569001E-2</v>
      </c>
      <c r="W65" s="265">
        <v>1.337730618754015</v>
      </c>
      <c r="X65" s="265">
        <v>0.12825494782302441</v>
      </c>
      <c r="Y65" s="265">
        <v>0.57020319614028758</v>
      </c>
      <c r="Z65" s="265">
        <v>0.57020319614028758</v>
      </c>
      <c r="AA65" s="267">
        <v>0.20329692202095281</v>
      </c>
    </row>
    <row r="66" spans="1:27" s="186" customFormat="1">
      <c r="A66" s="264" t="s">
        <v>721</v>
      </c>
      <c r="B66" s="81">
        <v>383</v>
      </c>
      <c r="C66" s="265">
        <v>8.6301141975308665E-2</v>
      </c>
      <c r="D66" s="265">
        <v>0.19832164454754869</v>
      </c>
      <c r="E66" s="265">
        <v>4.8869941498554982E-2</v>
      </c>
      <c r="F66" s="265">
        <v>0.22669290964855521</v>
      </c>
      <c r="G66" s="266">
        <v>0.64227623833699887</v>
      </c>
      <c r="H66" s="266">
        <v>1.0120709473405609</v>
      </c>
      <c r="I66" s="265">
        <v>8.1745984545646674E-2</v>
      </c>
      <c r="J66" s="265">
        <v>0.29901471534648538</v>
      </c>
      <c r="K66" s="265">
        <v>4.0999999999999988E-2</v>
      </c>
      <c r="L66" s="265">
        <v>0.49487160444406048</v>
      </c>
      <c r="M66" s="265">
        <v>5.6367491702862552E-2</v>
      </c>
      <c r="N66" s="266">
        <v>0.28938159691355392</v>
      </c>
      <c r="O66" s="266">
        <v>3.4326594185486989</v>
      </c>
      <c r="P66" s="266">
        <v>12.78582341652988</v>
      </c>
      <c r="Q66" s="266">
        <v>16.87200606602428</v>
      </c>
      <c r="R66" s="266">
        <v>0.72506117247392132</v>
      </c>
      <c r="S66" s="266">
        <v>39.257621050359027</v>
      </c>
      <c r="T66" s="265">
        <v>0.84316470100147722</v>
      </c>
      <c r="U66" s="265">
        <v>8.6674628770316758E-2</v>
      </c>
      <c r="V66" s="265">
        <v>0.10273835713129929</v>
      </c>
      <c r="W66" s="265">
        <v>1.307246842311073</v>
      </c>
      <c r="X66" s="265">
        <v>7.655841688936918E-2</v>
      </c>
      <c r="Y66" s="265">
        <v>0.40857436301903988</v>
      </c>
      <c r="Z66" s="265">
        <v>0.40857436301903988</v>
      </c>
      <c r="AA66" s="267">
        <v>0.19868673568450779</v>
      </c>
    </row>
    <row r="67" spans="1:27" s="186" customFormat="1">
      <c r="A67" s="264" t="s">
        <v>722</v>
      </c>
      <c r="B67" s="81">
        <v>691</v>
      </c>
      <c r="C67" s="265">
        <v>7.8803837719298248E-2</v>
      </c>
      <c r="D67" s="265">
        <v>0.22999468418293009</v>
      </c>
      <c r="E67" s="265">
        <v>4.1197896079765157E-2</v>
      </c>
      <c r="F67" s="265">
        <v>0.20495001126935081</v>
      </c>
      <c r="G67" s="266">
        <v>0.49377906135395278</v>
      </c>
      <c r="H67" s="266">
        <v>0.71589618566065527</v>
      </c>
      <c r="I67" s="265">
        <v>6.3442384273828492E-2</v>
      </c>
      <c r="J67" s="265">
        <v>0.31570663147508748</v>
      </c>
      <c r="K67" s="265">
        <v>4.0999999999999988E-2</v>
      </c>
      <c r="L67" s="265">
        <v>0.41955717848392371</v>
      </c>
      <c r="M67" s="265">
        <v>4.9605646859763923E-2</v>
      </c>
      <c r="N67" s="266">
        <v>0.20713835833671429</v>
      </c>
      <c r="O67" s="266">
        <v>5.6351391272636153</v>
      </c>
      <c r="P67" s="266">
        <v>17.015583218679101</v>
      </c>
      <c r="Q67" s="266">
        <v>23.004922082381999</v>
      </c>
      <c r="R67" s="266">
        <v>1.0099484780001231</v>
      </c>
      <c r="S67" s="266">
        <v>429.93353824487241</v>
      </c>
      <c r="T67" s="265">
        <v>0.21015044461719659</v>
      </c>
      <c r="U67" s="265">
        <v>4.6603836466251887E-2</v>
      </c>
      <c r="V67" s="265">
        <v>4.5701351243339697E-2</v>
      </c>
      <c r="W67" s="265">
        <v>0.36886203189040628</v>
      </c>
      <c r="X67" s="265">
        <v>8.114350771634278E-2</v>
      </c>
      <c r="Y67" s="265">
        <v>0.30205466868285269</v>
      </c>
      <c r="Z67" s="265">
        <v>0.30205466868285269</v>
      </c>
      <c r="AA67" s="267">
        <v>0.23217400356367199</v>
      </c>
    </row>
    <row r="68" spans="1:27" s="186" customFormat="1">
      <c r="A68" s="264" t="s">
        <v>723</v>
      </c>
      <c r="B68" s="81">
        <v>315</v>
      </c>
      <c r="C68" s="265">
        <v>3.8755207373271899E-2</v>
      </c>
      <c r="D68" s="265">
        <v>0.1104227483742922</v>
      </c>
      <c r="E68" s="265">
        <v>0.1008922167331541</v>
      </c>
      <c r="F68" s="265">
        <v>0.25323988798941538</v>
      </c>
      <c r="G68" s="266">
        <v>0.83821337787899663</v>
      </c>
      <c r="H68" s="266">
        <v>0.92436659786949404</v>
      </c>
      <c r="I68" s="265">
        <v>7.6325855748334726E-2</v>
      </c>
      <c r="J68" s="265">
        <v>0.37723968888975518</v>
      </c>
      <c r="K68" s="265">
        <v>4.0999999999999988E-2</v>
      </c>
      <c r="L68" s="265">
        <v>0.21958671036274219</v>
      </c>
      <c r="M68" s="265">
        <v>6.6254982126716919E-2</v>
      </c>
      <c r="N68" s="266">
        <v>1.0737637509041551</v>
      </c>
      <c r="O68" s="266">
        <v>2.514138942759494</v>
      </c>
      <c r="P68" s="266">
        <v>13.358837559477941</v>
      </c>
      <c r="Q68" s="266">
        <v>21.678583078606088</v>
      </c>
      <c r="R68" s="266">
        <v>2.9693660730409959</v>
      </c>
      <c r="S68" s="266">
        <v>40.729371779950348</v>
      </c>
      <c r="T68" s="265">
        <v>0.22900194588191189</v>
      </c>
      <c r="U68" s="265">
        <v>6.1900229530041651E-2</v>
      </c>
      <c r="V68" s="265">
        <v>3.9203645168466833E-2</v>
      </c>
      <c r="W68" s="265">
        <v>0.9536450983436876</v>
      </c>
      <c r="X68" s="265">
        <v>7.682173177094892E-2</v>
      </c>
      <c r="Y68" s="265">
        <v>0.66196265911522745</v>
      </c>
      <c r="Z68" s="265">
        <v>0.66196265911522745</v>
      </c>
      <c r="AA68" s="267">
        <v>0.110288144427693</v>
      </c>
    </row>
    <row r="69" spans="1:27" s="186" customFormat="1">
      <c r="A69" s="264" t="s">
        <v>724</v>
      </c>
      <c r="B69" s="81">
        <v>34</v>
      </c>
      <c r="C69" s="265">
        <v>4.6812592592592593E-2</v>
      </c>
      <c r="D69" s="265">
        <v>5.8988817471321592E-2</v>
      </c>
      <c r="E69" s="265">
        <v>7.6319754696812972E-2</v>
      </c>
      <c r="F69" s="265">
        <v>0.1768174301531063</v>
      </c>
      <c r="G69" s="266">
        <v>0.91990370702925328</v>
      </c>
      <c r="H69" s="266">
        <v>0.949214676475434</v>
      </c>
      <c r="I69" s="265">
        <v>7.7861467006181823E-2</v>
      </c>
      <c r="J69" s="265">
        <v>0.23606953816563969</v>
      </c>
      <c r="K69" s="265">
        <v>3.5499999999999997E-2</v>
      </c>
      <c r="L69" s="265">
        <v>0.19109888073666839</v>
      </c>
      <c r="M69" s="265">
        <v>6.8022747436536177E-2</v>
      </c>
      <c r="N69" s="266">
        <v>1.4907288480712619</v>
      </c>
      <c r="O69" s="266">
        <v>0.87899399888602359</v>
      </c>
      <c r="P69" s="266">
        <v>13.21909695507575</v>
      </c>
      <c r="Q69" s="266">
        <v>14.84405900776726</v>
      </c>
      <c r="R69" s="266">
        <v>1.1149384137828899</v>
      </c>
      <c r="S69" s="266">
        <v>19.60975216984999</v>
      </c>
      <c r="T69" s="265">
        <v>-0.45514124283522039</v>
      </c>
      <c r="U69" s="265">
        <v>4.3772630848483386E-3</v>
      </c>
      <c r="V69" s="265">
        <v>6.8654540566242947E-3</v>
      </c>
      <c r="W69" s="265">
        <v>0.27823560683079818</v>
      </c>
      <c r="X69" s="265">
        <v>6.1165853151060857E-2</v>
      </c>
      <c r="Y69" s="265">
        <v>0.59032881120247305</v>
      </c>
      <c r="Z69" s="265">
        <v>0.59032881120247305</v>
      </c>
      <c r="AA69" s="267">
        <v>5.8945730557045023E-2</v>
      </c>
    </row>
    <row r="70" spans="1:27" s="186" customFormat="1">
      <c r="A70" s="264" t="s">
        <v>725</v>
      </c>
      <c r="B70" s="81">
        <v>376</v>
      </c>
      <c r="C70" s="265">
        <v>6.6971000000000031E-2</v>
      </c>
      <c r="D70" s="265">
        <v>0.1097838292532195</v>
      </c>
      <c r="E70" s="265">
        <v>0.15300838609033479</v>
      </c>
      <c r="F70" s="265">
        <v>0.22431969233325169</v>
      </c>
      <c r="G70" s="266">
        <v>0.66720034509729043</v>
      </c>
      <c r="H70" s="266">
        <v>0.8472048185802411</v>
      </c>
      <c r="I70" s="265">
        <v>7.1557257788258902E-2</v>
      </c>
      <c r="J70" s="265">
        <v>0.34399777463418152</v>
      </c>
      <c r="K70" s="265">
        <v>4.0999999999999988E-2</v>
      </c>
      <c r="L70" s="265">
        <v>0.29336266270734829</v>
      </c>
      <c r="M70" s="265">
        <v>5.9501736901513079E-2</v>
      </c>
      <c r="N70" s="266">
        <v>1.825251783807788</v>
      </c>
      <c r="O70" s="266">
        <v>2.7801187999595758</v>
      </c>
      <c r="P70" s="266">
        <v>14.986211549385089</v>
      </c>
      <c r="Q70" s="266">
        <v>27.46019061432261</v>
      </c>
      <c r="R70" s="266">
        <v>13.25070722710767</v>
      </c>
      <c r="S70" s="266">
        <v>75.365061793999189</v>
      </c>
      <c r="T70" s="265">
        <v>-1.511062853152104E-2</v>
      </c>
      <c r="U70" s="265">
        <v>4.861207102955728E-2</v>
      </c>
      <c r="V70" s="265">
        <v>2.3043884785558251E-2</v>
      </c>
      <c r="W70" s="265">
        <v>0.32871681991143642</v>
      </c>
      <c r="X70" s="265">
        <v>0.42104253385129231</v>
      </c>
      <c r="Y70" s="265">
        <v>0.52850155214640693</v>
      </c>
      <c r="Z70" s="265">
        <v>0.52850155214640693</v>
      </c>
      <c r="AA70" s="267">
        <v>0.1007495529338379</v>
      </c>
    </row>
    <row r="71" spans="1:27" s="186" customFormat="1">
      <c r="A71" s="264" t="s">
        <v>726</v>
      </c>
      <c r="B71" s="81">
        <v>184</v>
      </c>
      <c r="C71" s="265">
        <v>8.1573432835820942E-2</v>
      </c>
      <c r="D71" s="265">
        <v>4.2859370377592333E-2</v>
      </c>
      <c r="E71" s="265">
        <v>7.8734937212670594E-2</v>
      </c>
      <c r="F71" s="265">
        <v>0.25018240554327881</v>
      </c>
      <c r="G71" s="266">
        <v>0.66241578299518777</v>
      </c>
      <c r="H71" s="266">
        <v>0.9767463958647935</v>
      </c>
      <c r="I71" s="265">
        <v>7.9562927264444236E-2</v>
      </c>
      <c r="J71" s="265">
        <v>0.34448768828876619</v>
      </c>
      <c r="K71" s="265">
        <v>4.0999999999999988E-2</v>
      </c>
      <c r="L71" s="265">
        <v>0.42193212260757568</v>
      </c>
      <c r="M71" s="265">
        <v>5.8846090733879697E-2</v>
      </c>
      <c r="N71" s="266">
        <v>2.5074001533068242</v>
      </c>
      <c r="O71" s="266">
        <v>0.85591038801703079</v>
      </c>
      <c r="P71" s="266">
        <v>12.08640296306239</v>
      </c>
      <c r="Q71" s="266">
        <v>21.271060182428329</v>
      </c>
      <c r="R71" s="266">
        <v>3.0878339469672449</v>
      </c>
      <c r="S71" s="266">
        <v>42.523638738738818</v>
      </c>
      <c r="T71" s="265">
        <v>0.1114324874171401</v>
      </c>
      <c r="U71" s="265">
        <v>2.509053146064916E-2</v>
      </c>
      <c r="V71" s="265">
        <v>1.809641975747521E-2</v>
      </c>
      <c r="W71" s="265">
        <v>0.77043536324241202</v>
      </c>
      <c r="X71" s="265">
        <v>0.1486211832570094</v>
      </c>
      <c r="Y71" s="265">
        <v>0.34166447620701967</v>
      </c>
      <c r="Z71" s="265">
        <v>0.34166447620701978</v>
      </c>
      <c r="AA71" s="267">
        <v>3.8830692938863771E-2</v>
      </c>
    </row>
    <row r="72" spans="1:27" s="186" customFormat="1">
      <c r="A72" s="264" t="s">
        <v>727</v>
      </c>
      <c r="B72" s="81">
        <v>93</v>
      </c>
      <c r="C72" s="265">
        <v>4.1417164179104467E-2</v>
      </c>
      <c r="D72" s="265">
        <v>9.7760413234227378E-2</v>
      </c>
      <c r="E72" s="265">
        <v>0.19060188954944829</v>
      </c>
      <c r="F72" s="265">
        <v>0.25702228902333241</v>
      </c>
      <c r="G72" s="266">
        <v>0.90290093940983818</v>
      </c>
      <c r="H72" s="266">
        <v>1.0826099555086539</v>
      </c>
      <c r="I72" s="265">
        <v>8.610529525043481E-2</v>
      </c>
      <c r="J72" s="265">
        <v>0.36342968267598841</v>
      </c>
      <c r="K72" s="265">
        <v>4.0999999999999988E-2</v>
      </c>
      <c r="L72" s="265">
        <v>0.2306961364494293</v>
      </c>
      <c r="M72" s="265">
        <v>7.3268832712981055E-2</v>
      </c>
      <c r="N72" s="266">
        <v>2.486519989492133</v>
      </c>
      <c r="O72" s="266">
        <v>1.790512064384167</v>
      </c>
      <c r="P72" s="266">
        <v>12.881318467086651</v>
      </c>
      <c r="Q72" s="266">
        <v>18.866127646235899</v>
      </c>
      <c r="R72" s="266">
        <v>9.4561097510303878</v>
      </c>
      <c r="S72" s="266">
        <v>65.766513491480339</v>
      </c>
      <c r="T72" s="265">
        <v>8.0145611739527028E-2</v>
      </c>
      <c r="U72" s="265">
        <v>2.421218794790712E-2</v>
      </c>
      <c r="V72" s="265">
        <v>6.4977424424769786E-3</v>
      </c>
      <c r="W72" s="265">
        <v>0.26619837402300661</v>
      </c>
      <c r="X72" s="265">
        <v>0.32904708372706248</v>
      </c>
      <c r="Y72" s="265">
        <v>0.54402651908042043</v>
      </c>
      <c r="Z72" s="265">
        <v>0.54402651908042043</v>
      </c>
      <c r="AA72" s="267">
        <v>9.4878273704645619E-2</v>
      </c>
    </row>
    <row r="73" spans="1:27" s="186" customFormat="1">
      <c r="A73" s="264" t="s">
        <v>728</v>
      </c>
      <c r="B73" s="81">
        <v>982</v>
      </c>
      <c r="C73" s="265">
        <v>0.11517992907801421</v>
      </c>
      <c r="D73" s="265">
        <v>4.1006918949685882E-2</v>
      </c>
      <c r="E73" s="265">
        <v>6.7919458813452668E-2</v>
      </c>
      <c r="F73" s="265">
        <v>0.23332191516922979</v>
      </c>
      <c r="G73" s="266">
        <v>0.60052870687959869</v>
      </c>
      <c r="H73" s="266">
        <v>0.92039389505625213</v>
      </c>
      <c r="I73" s="265">
        <v>7.6080342714476376E-2</v>
      </c>
      <c r="J73" s="265">
        <v>0.36068173383469199</v>
      </c>
      <c r="K73" s="265">
        <v>4.0999999999999988E-2</v>
      </c>
      <c r="L73" s="265">
        <v>0.47796963135924619</v>
      </c>
      <c r="M73" s="265">
        <v>5.4276638233649699E-2</v>
      </c>
      <c r="N73" s="266">
        <v>1.943681679167182</v>
      </c>
      <c r="O73" s="266">
        <v>0.71918406117871803</v>
      </c>
      <c r="P73" s="266">
        <v>10.90063789754646</v>
      </c>
      <c r="Q73" s="266">
        <v>16.714995419812411</v>
      </c>
      <c r="R73" s="266">
        <v>1.2847610358944159</v>
      </c>
      <c r="S73" s="266">
        <v>114.37493779063369</v>
      </c>
      <c r="T73" s="265">
        <v>0.13943033141052069</v>
      </c>
      <c r="U73" s="265">
        <v>2.9956588457576799E-2</v>
      </c>
      <c r="V73" s="265">
        <v>2.6047831086072479E-2</v>
      </c>
      <c r="W73" s="265">
        <v>0.46958964717204288</v>
      </c>
      <c r="X73" s="265">
        <v>0.1043686316337913</v>
      </c>
      <c r="Y73" s="265">
        <v>0.40466319944423229</v>
      </c>
      <c r="Z73" s="265">
        <v>0.40466319944423218</v>
      </c>
      <c r="AA73" s="267">
        <v>4.2185495417349582E-2</v>
      </c>
    </row>
    <row r="74" spans="1:27" s="186" customFormat="1">
      <c r="A74" s="264" t="s">
        <v>729</v>
      </c>
      <c r="B74" s="81">
        <v>210</v>
      </c>
      <c r="C74" s="265">
        <v>1.561876404494382E-2</v>
      </c>
      <c r="D74" s="265">
        <v>4.294808336736141E-2</v>
      </c>
      <c r="E74" s="265">
        <v>8.3679371587906115E-2</v>
      </c>
      <c r="F74" s="265">
        <v>0.2800489268408578</v>
      </c>
      <c r="G74" s="266">
        <v>0.85514831941228187</v>
      </c>
      <c r="H74" s="266">
        <v>1.1193938285891889</v>
      </c>
      <c r="I74" s="265">
        <v>8.8378538606811899E-2</v>
      </c>
      <c r="J74" s="265">
        <v>0.2910392391283711</v>
      </c>
      <c r="K74" s="265">
        <v>4.0999999999999988E-2</v>
      </c>
      <c r="L74" s="265">
        <v>0.33473559235778211</v>
      </c>
      <c r="M74" s="265">
        <v>6.8992146484540717E-2</v>
      </c>
      <c r="N74" s="266">
        <v>2.763780581803851</v>
      </c>
      <c r="O74" s="266">
        <v>0.90944448948686618</v>
      </c>
      <c r="P74" s="266">
        <v>11.2177535736115</v>
      </c>
      <c r="Q74" s="266">
        <v>23.18827747099823</v>
      </c>
      <c r="R74" s="266">
        <v>2.8528467164366771</v>
      </c>
      <c r="S74" s="266">
        <v>36.010203846735543</v>
      </c>
      <c r="T74" s="265">
        <v>-4.2541712220388163E-3</v>
      </c>
      <c r="U74" s="265">
        <v>2.8703334630866859E-2</v>
      </c>
      <c r="V74" s="265">
        <v>7.4272074762155469E-3</v>
      </c>
      <c r="W74" s="265">
        <v>0.32891395205931578</v>
      </c>
      <c r="X74" s="265">
        <v>0.1146569317008832</v>
      </c>
      <c r="Y74" s="265">
        <v>0.50198899525810103</v>
      </c>
      <c r="Z74" s="265">
        <v>0.50198899525810103</v>
      </c>
      <c r="AA74" s="267">
        <v>3.9129380731371517E-2</v>
      </c>
    </row>
    <row r="75" spans="1:27" s="186" customFormat="1">
      <c r="A75" s="264" t="s">
        <v>730</v>
      </c>
      <c r="B75" s="81">
        <v>170</v>
      </c>
      <c r="C75" s="265">
        <v>3.2480000000000002E-2</v>
      </c>
      <c r="D75" s="265">
        <v>3.6910918471386597E-2</v>
      </c>
      <c r="E75" s="265">
        <v>7.7560110162122359E-2</v>
      </c>
      <c r="F75" s="265">
        <v>0.26876073798896261</v>
      </c>
      <c r="G75" s="266">
        <v>0.49493796663649808</v>
      </c>
      <c r="H75" s="266">
        <v>0.72746109303298789</v>
      </c>
      <c r="I75" s="265">
        <v>6.4157095549438645E-2</v>
      </c>
      <c r="J75" s="265">
        <v>0.29305447069022011</v>
      </c>
      <c r="K75" s="265">
        <v>4.0999999999999988E-2</v>
      </c>
      <c r="L75" s="265">
        <v>0.43750246258540498</v>
      </c>
      <c r="M75" s="265">
        <v>4.9415845771971313E-2</v>
      </c>
      <c r="N75" s="266">
        <v>3.0264246504531731</v>
      </c>
      <c r="O75" s="266">
        <v>0.73993730179094386</v>
      </c>
      <c r="P75" s="266">
        <v>9.4734042866334462</v>
      </c>
      <c r="Q75" s="266">
        <v>22.47932856472821</v>
      </c>
      <c r="R75" s="266">
        <v>2.071785253176134</v>
      </c>
      <c r="S75" s="266">
        <v>243.18876604370811</v>
      </c>
      <c r="T75" s="265">
        <v>-3.8207207529592613E-2</v>
      </c>
      <c r="U75" s="265">
        <v>2.8581724683385889E-2</v>
      </c>
      <c r="V75" s="265">
        <v>7.6101356382989671E-3</v>
      </c>
      <c r="W75" s="265">
        <v>0.29659398174139301</v>
      </c>
      <c r="X75" s="265">
        <v>0.1017700033457872</v>
      </c>
      <c r="Y75" s="265">
        <v>0.56797690232982412</v>
      </c>
      <c r="Z75" s="265">
        <v>0.56797690232982412</v>
      </c>
      <c r="AA75" s="267">
        <v>3.2876396306680759E-2</v>
      </c>
    </row>
    <row r="76" spans="1:27" s="186" customFormat="1">
      <c r="A76" s="264" t="s">
        <v>731</v>
      </c>
      <c r="B76" s="81">
        <v>297</v>
      </c>
      <c r="C76" s="265">
        <v>0.14430561728395061</v>
      </c>
      <c r="D76" s="265">
        <v>5.0639662415794963E-2</v>
      </c>
      <c r="E76" s="265">
        <v>6.6864155140390222E-2</v>
      </c>
      <c r="F76" s="265">
        <v>0.135465893309304</v>
      </c>
      <c r="G76" s="266">
        <v>1.232107279563883</v>
      </c>
      <c r="H76" s="266">
        <v>1.282051089712587</v>
      </c>
      <c r="I76" s="265">
        <v>9.8430757344237868E-2</v>
      </c>
      <c r="J76" s="265">
        <v>0.51870747560317154</v>
      </c>
      <c r="K76" s="265">
        <v>4.4999999999999998E-2</v>
      </c>
      <c r="L76" s="265">
        <v>0.10634727454780769</v>
      </c>
      <c r="M76" s="265">
        <v>9.1518635693507516E-2</v>
      </c>
      <c r="N76" s="266">
        <v>1.587283682541945</v>
      </c>
      <c r="O76" s="266">
        <v>3.5783332193913608</v>
      </c>
      <c r="P76" s="266">
        <v>23.725096910077902</v>
      </c>
      <c r="Q76" s="266">
        <v>63.810673173102863</v>
      </c>
      <c r="R76" s="266">
        <v>7.5126140375278991</v>
      </c>
      <c r="S76" s="266">
        <v>82.737047129844157</v>
      </c>
      <c r="T76" s="265">
        <v>-4.9729202525911958E-3</v>
      </c>
      <c r="U76" s="265">
        <v>4.6700126250884773E-2</v>
      </c>
      <c r="V76" s="265">
        <v>5.0689062321411108E-3</v>
      </c>
      <c r="W76" s="265">
        <v>0.66254606495367219</v>
      </c>
      <c r="X76" s="265">
        <v>0.16747876029961911</v>
      </c>
      <c r="Y76" s="265">
        <v>8.9597589020913887E-2</v>
      </c>
      <c r="Z76" s="265">
        <v>8.9597589020913859E-2</v>
      </c>
      <c r="AA76" s="267">
        <v>4.7804496478668149E-2</v>
      </c>
    </row>
    <row r="77" spans="1:27" s="186" customFormat="1">
      <c r="A77" s="264" t="s">
        <v>732</v>
      </c>
      <c r="B77" s="81">
        <v>479</v>
      </c>
      <c r="C77" s="265">
        <v>2.9680197740113011E-2</v>
      </c>
      <c r="D77" s="265">
        <v>5.626341260666564E-2</v>
      </c>
      <c r="E77" s="265">
        <v>0.1198900073511967</v>
      </c>
      <c r="F77" s="265">
        <v>0.25090468479838851</v>
      </c>
      <c r="G77" s="266">
        <v>0.74855284173584302</v>
      </c>
      <c r="H77" s="266">
        <v>0.95678518050628281</v>
      </c>
      <c r="I77" s="265">
        <v>7.8329324155288274E-2</v>
      </c>
      <c r="J77" s="265">
        <v>0.37507504044786238</v>
      </c>
      <c r="K77" s="265">
        <v>4.0999999999999988E-2</v>
      </c>
      <c r="L77" s="265">
        <v>0.32533774150407951</v>
      </c>
      <c r="M77" s="265">
        <v>6.2756602360504621E-2</v>
      </c>
      <c r="N77" s="266">
        <v>2.4591436938081541</v>
      </c>
      <c r="O77" s="266">
        <v>1.1857438577780179</v>
      </c>
      <c r="P77" s="266">
        <v>10.297646207286689</v>
      </c>
      <c r="Q77" s="266">
        <v>19.695622041089699</v>
      </c>
      <c r="R77" s="266">
        <v>3.3461198794239659</v>
      </c>
      <c r="S77" s="266">
        <v>28.581629029155032</v>
      </c>
      <c r="T77" s="265">
        <v>7.4870120916320823E-2</v>
      </c>
      <c r="U77" s="265">
        <v>2.1983623092794381E-2</v>
      </c>
      <c r="V77" s="265">
        <v>3.3295131364691429E-3</v>
      </c>
      <c r="W77" s="265">
        <v>0.24333099408788411</v>
      </c>
      <c r="X77" s="265">
        <v>0.14114030912142381</v>
      </c>
      <c r="Y77" s="265">
        <v>0.41430433051917881</v>
      </c>
      <c r="Z77" s="265">
        <v>0.4143043305191787</v>
      </c>
      <c r="AA77" s="267">
        <v>5.9878478300670841E-2</v>
      </c>
    </row>
    <row r="78" spans="1:27" s="186" customFormat="1">
      <c r="A78" s="264" t="s">
        <v>733</v>
      </c>
      <c r="B78" s="81">
        <v>89</v>
      </c>
      <c r="C78" s="265">
        <v>6.3561194029850736E-3</v>
      </c>
      <c r="D78" s="265">
        <v>8.5693832274842771E-2</v>
      </c>
      <c r="E78" s="265">
        <v>8.5991258159573758E-2</v>
      </c>
      <c r="F78" s="265">
        <v>0.25612482024753491</v>
      </c>
      <c r="G78" s="266">
        <v>0.72096704561857894</v>
      </c>
      <c r="H78" s="266">
        <v>0.93645110191608893</v>
      </c>
      <c r="I78" s="265">
        <v>7.7072678098414296E-2</v>
      </c>
      <c r="J78" s="265">
        <v>0.28624770939829758</v>
      </c>
      <c r="K78" s="265">
        <v>4.0999999999999988E-2</v>
      </c>
      <c r="L78" s="265">
        <v>0.35424042552467477</v>
      </c>
      <c r="M78" s="265">
        <v>6.0561645895263902E-2</v>
      </c>
      <c r="N78" s="266">
        <v>1.167842815650165</v>
      </c>
      <c r="O78" s="266">
        <v>1.043216446962713</v>
      </c>
      <c r="P78" s="266">
        <v>6.6346327458874619</v>
      </c>
      <c r="Q78" s="266">
        <v>11.795304350729211</v>
      </c>
      <c r="R78" s="266">
        <v>1.2277445503629401</v>
      </c>
      <c r="S78" s="266">
        <v>44.017195766928552</v>
      </c>
      <c r="T78" s="265">
        <v>0.21234864710302029</v>
      </c>
      <c r="U78" s="265">
        <v>5.8071429630415262E-2</v>
      </c>
      <c r="V78" s="265">
        <v>3.3782704527025947E-2</v>
      </c>
      <c r="W78" s="265">
        <v>0.64292070277711588</v>
      </c>
      <c r="X78" s="265">
        <v>9.7456465913242085E-2</v>
      </c>
      <c r="Y78" s="265">
        <v>0.41362458336771291</v>
      </c>
      <c r="Z78" s="265">
        <v>0.41362458336771291</v>
      </c>
      <c r="AA78" s="267">
        <v>8.8360488805403481E-2</v>
      </c>
    </row>
    <row r="79" spans="1:27" s="186" customFormat="1">
      <c r="A79" s="264" t="s">
        <v>734</v>
      </c>
      <c r="B79" s="81">
        <v>542</v>
      </c>
      <c r="C79" s="265">
        <v>4.3406957547169833E-2</v>
      </c>
      <c r="D79" s="265">
        <v>0.18187629290875901</v>
      </c>
      <c r="E79" s="265">
        <v>0.1260648970443346</v>
      </c>
      <c r="F79" s="265">
        <v>0.14516419296085961</v>
      </c>
      <c r="G79" s="266">
        <v>1.5295820455595981</v>
      </c>
      <c r="H79" s="266">
        <v>1.57034826289507</v>
      </c>
      <c r="I79" s="265">
        <v>0.11624752264691531</v>
      </c>
      <c r="J79" s="265">
        <v>0.38894935732145991</v>
      </c>
      <c r="K79" s="265">
        <v>4.0999999999999988E-2</v>
      </c>
      <c r="L79" s="265">
        <v>0.1084127941724559</v>
      </c>
      <c r="M79" s="265">
        <v>0.1069473828500129</v>
      </c>
      <c r="N79" s="266">
        <v>0.73614351686608093</v>
      </c>
      <c r="O79" s="266">
        <v>4.3876209629144531</v>
      </c>
      <c r="P79" s="266">
        <v>13.108867850310491</v>
      </c>
      <c r="Q79" s="266">
        <v>23.712066408904359</v>
      </c>
      <c r="R79" s="266">
        <v>3.857020918526425</v>
      </c>
      <c r="S79" s="266">
        <v>80.320978943351633</v>
      </c>
      <c r="T79" s="265">
        <v>0.17006208275536239</v>
      </c>
      <c r="U79" s="265">
        <v>0.17068958073516571</v>
      </c>
      <c r="V79" s="265">
        <v>0.13986113180716031</v>
      </c>
      <c r="W79" s="265">
        <v>0.90749944275579608</v>
      </c>
      <c r="X79" s="265">
        <v>0.1454715435713087</v>
      </c>
      <c r="Y79" s="265">
        <v>0.48633449157894232</v>
      </c>
      <c r="Z79" s="265">
        <v>0.48633449157894232</v>
      </c>
      <c r="AA79" s="267">
        <v>0.18901706841910551</v>
      </c>
    </row>
    <row r="80" spans="1:27" s="186" customFormat="1">
      <c r="A80" s="264" t="s">
        <v>735</v>
      </c>
      <c r="B80" s="81">
        <v>291</v>
      </c>
      <c r="C80" s="265">
        <v>6.2627268292682919E-2</v>
      </c>
      <c r="D80" s="265">
        <v>0.16341068601113221</v>
      </c>
      <c r="E80" s="265">
        <v>0.1509937105483245</v>
      </c>
      <c r="F80" s="265">
        <v>0.16155488872985749</v>
      </c>
      <c r="G80" s="266">
        <v>1.821080622372635</v>
      </c>
      <c r="H80" s="266">
        <v>1.839451129460635</v>
      </c>
      <c r="I80" s="265">
        <v>0.13287807980066721</v>
      </c>
      <c r="J80" s="265">
        <v>0.40995730198456792</v>
      </c>
      <c r="K80" s="265">
        <v>4.4999999999999998E-2</v>
      </c>
      <c r="L80" s="265">
        <v>9.3216712484020262E-2</v>
      </c>
      <c r="M80" s="265">
        <v>0.123608322822363</v>
      </c>
      <c r="N80" s="266">
        <v>1.0283405675450319</v>
      </c>
      <c r="O80" s="266">
        <v>3.9112607447835139</v>
      </c>
      <c r="P80" s="266">
        <v>17.314174563927541</v>
      </c>
      <c r="Q80" s="266">
        <v>23.37314131804677</v>
      </c>
      <c r="R80" s="266">
        <v>4.6449872363333622</v>
      </c>
      <c r="S80" s="266">
        <v>52.132706161159021</v>
      </c>
      <c r="T80" s="265">
        <v>0.29048978614399729</v>
      </c>
      <c r="U80" s="265">
        <v>6.8801170934645731E-2</v>
      </c>
      <c r="V80" s="265">
        <v>8.2284682733264253E-2</v>
      </c>
      <c r="W80" s="265">
        <v>0.62672397521900691</v>
      </c>
      <c r="X80" s="265">
        <v>0.173233582606618</v>
      </c>
      <c r="Y80" s="265">
        <v>0.39602162915992128</v>
      </c>
      <c r="Z80" s="265">
        <v>0.39602162915992117</v>
      </c>
      <c r="AA80" s="267">
        <v>0.17024497796077201</v>
      </c>
    </row>
    <row r="81" spans="1:27" s="186" customFormat="1">
      <c r="A81" s="264" t="s">
        <v>736</v>
      </c>
      <c r="B81" s="81">
        <v>345</v>
      </c>
      <c r="C81" s="265">
        <v>3.9303111111111122E-2</v>
      </c>
      <c r="D81" s="265">
        <v>8.0899957603312575E-2</v>
      </c>
      <c r="E81" s="265">
        <v>4.4430136648651579E-2</v>
      </c>
      <c r="F81" s="265">
        <v>0.18467404184339151</v>
      </c>
      <c r="G81" s="266">
        <v>0.70840293478430694</v>
      </c>
      <c r="H81" s="266">
        <v>1.129739625501055</v>
      </c>
      <c r="I81" s="265">
        <v>8.9017908855965222E-2</v>
      </c>
      <c r="J81" s="265">
        <v>0.33898462784581218</v>
      </c>
      <c r="K81" s="265">
        <v>4.0999999999999988E-2</v>
      </c>
      <c r="L81" s="265">
        <v>0.50259887512205004</v>
      </c>
      <c r="M81" s="265">
        <v>5.9588277532082928E-2</v>
      </c>
      <c r="N81" s="266">
        <v>0.62554528135853937</v>
      </c>
      <c r="O81" s="266">
        <v>1.9080540685037839</v>
      </c>
      <c r="P81" s="266">
        <v>9.5759634444317694</v>
      </c>
      <c r="Q81" s="266">
        <v>23.089808022646359</v>
      </c>
      <c r="R81" s="266">
        <v>1.059083899819584</v>
      </c>
      <c r="S81" s="266">
        <v>25.96946789204204</v>
      </c>
      <c r="T81" s="265">
        <v>1.3369342467696849E-2</v>
      </c>
      <c r="U81" s="265">
        <v>9.4075559784250223E-2</v>
      </c>
      <c r="V81" s="265">
        <v>4.4234510087171809E-2</v>
      </c>
      <c r="W81" s="265">
        <v>0.67543444609138581</v>
      </c>
      <c r="X81" s="265">
        <v>5.1796742916598713E-2</v>
      </c>
      <c r="Y81" s="265">
        <v>0.76318163209899281</v>
      </c>
      <c r="Z81" s="265">
        <v>0.76318163209899281</v>
      </c>
      <c r="AA81" s="267">
        <v>8.1549969271670686E-2</v>
      </c>
    </row>
    <row r="82" spans="1:27" s="186" customFormat="1">
      <c r="A82" s="264" t="s">
        <v>737</v>
      </c>
      <c r="B82" s="81">
        <v>78</v>
      </c>
      <c r="C82" s="265">
        <v>-3.7266666666666598E-3</v>
      </c>
      <c r="D82" s="265">
        <v>9.7432591835018317E-2</v>
      </c>
      <c r="E82" s="265">
        <v>0.1666051271003659</v>
      </c>
      <c r="F82" s="265">
        <v>0.17938132456245531</v>
      </c>
      <c r="G82" s="266">
        <v>0.89886001274190919</v>
      </c>
      <c r="H82" s="266">
        <v>0.95392839570191745</v>
      </c>
      <c r="I82" s="265">
        <v>7.8152774854378493E-2</v>
      </c>
      <c r="J82" s="265">
        <v>0.34374714196352651</v>
      </c>
      <c r="K82" s="265">
        <v>4.0999999999999988E-2</v>
      </c>
      <c r="L82" s="265">
        <v>0.1159320539013652</v>
      </c>
      <c r="M82" s="265">
        <v>7.2624001305416713E-2</v>
      </c>
      <c r="N82" s="266">
        <v>2.0124005403939469</v>
      </c>
      <c r="O82" s="266">
        <v>2.667870191216001</v>
      </c>
      <c r="P82" s="266">
        <v>18.835231994219239</v>
      </c>
      <c r="Q82" s="266">
        <v>26.78224969001532</v>
      </c>
      <c r="R82" s="266">
        <v>5.9892268160242423</v>
      </c>
      <c r="S82" s="266">
        <v>27.96508937018114</v>
      </c>
      <c r="T82" s="265">
        <v>0.1999630671828922</v>
      </c>
      <c r="U82" s="265">
        <v>1.6877469846058101E-2</v>
      </c>
      <c r="V82" s="265">
        <v>-2.8218596857034592E-3</v>
      </c>
      <c r="W82" s="265">
        <v>4.681424212802953E-2</v>
      </c>
      <c r="X82" s="265">
        <v>0.2080149769843519</v>
      </c>
      <c r="Y82" s="265">
        <v>0.3684182782665939</v>
      </c>
      <c r="Z82" s="265">
        <v>0.3684182782665939</v>
      </c>
      <c r="AA82" s="267">
        <v>9.9316304007962361E-2</v>
      </c>
    </row>
    <row r="83" spans="1:27" s="186" customFormat="1">
      <c r="A83" s="264" t="s">
        <v>738</v>
      </c>
      <c r="B83" s="81">
        <v>280</v>
      </c>
      <c r="C83" s="265">
        <v>0.16813954954954949</v>
      </c>
      <c r="D83" s="265">
        <v>0.2215273343881787</v>
      </c>
      <c r="E83" s="265">
        <v>0.16320447642926339</v>
      </c>
      <c r="F83" s="265">
        <v>0.18873836575176431</v>
      </c>
      <c r="G83" s="266">
        <v>1.1764313768041481</v>
      </c>
      <c r="H83" s="266">
        <v>1.1759313200409349</v>
      </c>
      <c r="I83" s="265">
        <v>9.1872555578529802E-2</v>
      </c>
      <c r="J83" s="265">
        <v>0.55261886095542412</v>
      </c>
      <c r="K83" s="265">
        <v>4.4999999999999998E-2</v>
      </c>
      <c r="L83" s="265">
        <v>4.7686980762783597E-2</v>
      </c>
      <c r="M83" s="265">
        <v>8.9085844989832366E-2</v>
      </c>
      <c r="N83" s="266">
        <v>0.7595667060351502</v>
      </c>
      <c r="O83" s="266">
        <v>6.8556089518962731</v>
      </c>
      <c r="P83" s="266">
        <v>21.15804946995614</v>
      </c>
      <c r="Q83" s="266">
        <v>30.97616362379615</v>
      </c>
      <c r="R83" s="266">
        <v>5.33176455673168</v>
      </c>
      <c r="S83" s="266">
        <v>90.612507526227887</v>
      </c>
      <c r="T83" s="265">
        <v>3.100059405168348E-2</v>
      </c>
      <c r="U83" s="265">
        <v>0.13486206462781461</v>
      </c>
      <c r="V83" s="265">
        <v>8.9303817831091856E-2</v>
      </c>
      <c r="W83" s="265">
        <v>0.57936706872755617</v>
      </c>
      <c r="X83" s="265">
        <v>0.1869719592218915</v>
      </c>
      <c r="Y83" s="265">
        <v>3.6247965449341522E-2</v>
      </c>
      <c r="Z83" s="265">
        <v>3.6247965449341502E-2</v>
      </c>
      <c r="AA83" s="267">
        <v>0.23835164400973369</v>
      </c>
    </row>
    <row r="84" spans="1:27" s="186" customFormat="1">
      <c r="A84" s="264" t="s">
        <v>739</v>
      </c>
      <c r="B84" s="81">
        <v>131</v>
      </c>
      <c r="C84" s="265">
        <v>0.2900737878787879</v>
      </c>
      <c r="D84" s="265">
        <v>5.1277844728875907E-2</v>
      </c>
      <c r="E84" s="265">
        <v>8.3500710830329603E-2</v>
      </c>
      <c r="F84" s="265">
        <v>0.1569426017871457</v>
      </c>
      <c r="G84" s="266">
        <v>1.2196848734436521</v>
      </c>
      <c r="H84" s="266">
        <v>1.294438556406269</v>
      </c>
      <c r="I84" s="265">
        <v>9.9196302785907436E-2</v>
      </c>
      <c r="J84" s="265">
        <v>0.46674359296639428</v>
      </c>
      <c r="K84" s="265">
        <v>4.4999999999999998E-2</v>
      </c>
      <c r="L84" s="265">
        <v>0.12998693514361939</v>
      </c>
      <c r="M84" s="265">
        <v>9.064819258571577E-2</v>
      </c>
      <c r="N84" s="266">
        <v>1.4618099638914319</v>
      </c>
      <c r="O84" s="266">
        <v>5.0370685932337587</v>
      </c>
      <c r="P84" s="266">
        <v>19.627893573004659</v>
      </c>
      <c r="Q84" s="266">
        <v>53.903386048791802</v>
      </c>
      <c r="R84" s="266">
        <v>8.0290284703604211</v>
      </c>
      <c r="S84" s="266">
        <v>62.065347734334892</v>
      </c>
      <c r="T84" s="265">
        <v>3.5723168197722477E-2</v>
      </c>
      <c r="U84" s="265">
        <v>7.6812175635507005E-2</v>
      </c>
      <c r="V84" s="265">
        <v>8.2066691833288324E-2</v>
      </c>
      <c r="W84" s="265">
        <v>2.4564545700754121</v>
      </c>
      <c r="X84" s="265">
        <v>4.2824888935468104E-3</v>
      </c>
      <c r="Y84" s="265">
        <v>5.8031437593539748</v>
      </c>
      <c r="Z84" s="265">
        <v>5.8031437593539748</v>
      </c>
      <c r="AA84" s="267">
        <v>6.1534722909709523E-2</v>
      </c>
    </row>
    <row r="85" spans="1:27" s="186" customFormat="1">
      <c r="A85" s="264" t="s">
        <v>11</v>
      </c>
      <c r="B85" s="81">
        <v>1375</v>
      </c>
      <c r="C85" s="265">
        <v>0.1515640168539327</v>
      </c>
      <c r="D85" s="265">
        <v>0.1962906416642029</v>
      </c>
      <c r="E85" s="265">
        <v>0.18191681674427451</v>
      </c>
      <c r="F85" s="265">
        <v>0.14000164258253719</v>
      </c>
      <c r="G85" s="266">
        <v>1.245288990109453</v>
      </c>
      <c r="H85" s="266">
        <v>1.283124264084738</v>
      </c>
      <c r="I85" s="265">
        <v>9.8497079520436834E-2</v>
      </c>
      <c r="J85" s="265">
        <v>0.50453754981461096</v>
      </c>
      <c r="K85" s="265">
        <v>4.4999999999999998E-2</v>
      </c>
      <c r="L85" s="265">
        <v>8.515673223863196E-2</v>
      </c>
      <c r="M85" s="265">
        <v>9.2956605435826414E-2</v>
      </c>
      <c r="N85" s="266">
        <v>0.93091009544910475</v>
      </c>
      <c r="O85" s="266">
        <v>7.7052379943792859</v>
      </c>
      <c r="P85" s="266">
        <v>24.34655998293438</v>
      </c>
      <c r="Q85" s="266">
        <v>35.570596024469417</v>
      </c>
      <c r="R85" s="266">
        <v>8.13277003583819</v>
      </c>
      <c r="S85" s="266">
        <v>99.436291594684718</v>
      </c>
      <c r="T85" s="265">
        <v>0.13720975600607929</v>
      </c>
      <c r="U85" s="265">
        <v>5.6165362883824232E-2</v>
      </c>
      <c r="V85" s="265">
        <v>8.2702178837844795E-2</v>
      </c>
      <c r="W85" s="265">
        <v>0.5905118828251199</v>
      </c>
      <c r="X85" s="265">
        <v>0.21168965087614791</v>
      </c>
      <c r="Y85" s="265">
        <v>0.32638991879574902</v>
      </c>
      <c r="Z85" s="265">
        <v>0.32638991879574902</v>
      </c>
      <c r="AA85" s="267">
        <v>0.21244027032201229</v>
      </c>
    </row>
    <row r="86" spans="1:27" s="186" customFormat="1">
      <c r="A86" s="264" t="s">
        <v>740</v>
      </c>
      <c r="B86" s="81">
        <v>695</v>
      </c>
      <c r="C86" s="265">
        <v>6.407765384615384E-2</v>
      </c>
      <c r="D86" s="265">
        <v>7.4304082761855184E-2</v>
      </c>
      <c r="E86" s="265">
        <v>6.4436253421011627E-2</v>
      </c>
      <c r="F86" s="265">
        <v>0.1988885018297703</v>
      </c>
      <c r="G86" s="266">
        <v>0.82250641914508082</v>
      </c>
      <c r="H86" s="266">
        <v>1.125660394738722</v>
      </c>
      <c r="I86" s="265">
        <v>8.8765812394853039E-2</v>
      </c>
      <c r="J86" s="265">
        <v>0.37089099202556802</v>
      </c>
      <c r="K86" s="265">
        <v>4.0999999999999988E-2</v>
      </c>
      <c r="L86" s="265">
        <v>0.41412976979985011</v>
      </c>
      <c r="M86" s="265">
        <v>6.4620882119088702E-2</v>
      </c>
      <c r="N86" s="266">
        <v>0.98656723864855911</v>
      </c>
      <c r="O86" s="266">
        <v>0.7640304666682991</v>
      </c>
      <c r="P86" s="266">
        <v>5.9219806087466527</v>
      </c>
      <c r="Q86" s="266">
        <v>9.8824125289556122</v>
      </c>
      <c r="R86" s="266">
        <v>0.90153342810313741</v>
      </c>
      <c r="S86" s="266">
        <v>47.726567601889933</v>
      </c>
      <c r="T86" s="265">
        <v>0.13906021617318651</v>
      </c>
      <c r="U86" s="265">
        <v>4.934112957025643E-2</v>
      </c>
      <c r="V86" s="265">
        <v>2.7001791719470852E-2</v>
      </c>
      <c r="W86" s="265">
        <v>0.6220865680657679</v>
      </c>
      <c r="X86" s="265">
        <v>5.2145407137818942E-2</v>
      </c>
      <c r="Y86" s="265">
        <v>0.60954836377293631</v>
      </c>
      <c r="Z86" s="265">
        <v>0.60954836377293631</v>
      </c>
      <c r="AA86" s="267">
        <v>7.5391792770581764E-2</v>
      </c>
    </row>
    <row r="87" spans="1:27" s="186" customFormat="1">
      <c r="A87" s="264" t="s">
        <v>741</v>
      </c>
      <c r="B87" s="81">
        <v>103</v>
      </c>
      <c r="C87" s="265">
        <v>2.9157532467532471E-2</v>
      </c>
      <c r="D87" s="265">
        <v>0.13784183145869991</v>
      </c>
      <c r="E87" s="265">
        <v>8.456589383776851E-2</v>
      </c>
      <c r="F87" s="265">
        <v>0.2809778450687086</v>
      </c>
      <c r="G87" s="266">
        <v>0.6093112277506092</v>
      </c>
      <c r="H87" s="266">
        <v>0.9014014728143106</v>
      </c>
      <c r="I87" s="265">
        <v>7.4906611019924393E-2</v>
      </c>
      <c r="J87" s="265">
        <v>0.33974261079606471</v>
      </c>
      <c r="K87" s="265">
        <v>4.0999999999999988E-2</v>
      </c>
      <c r="L87" s="265">
        <v>0.43202911990747822</v>
      </c>
      <c r="M87" s="265">
        <v>5.5705676865476159E-2</v>
      </c>
      <c r="N87" s="266">
        <v>0.68447115283156545</v>
      </c>
      <c r="O87" s="266">
        <v>2.3168804690429678</v>
      </c>
      <c r="P87" s="266">
        <v>6.8064154892871844</v>
      </c>
      <c r="Q87" s="266">
        <v>15.95720115512459</v>
      </c>
      <c r="R87" s="266">
        <v>1.564036708877542</v>
      </c>
      <c r="S87" s="266">
        <v>30.642342754689778</v>
      </c>
      <c r="T87" s="265">
        <v>-5.1883744553480583E-2</v>
      </c>
      <c r="U87" s="265">
        <v>0.125597277276007</v>
      </c>
      <c r="V87" s="265">
        <v>6.3077341849496751E-3</v>
      </c>
      <c r="W87" s="265">
        <v>0.22934433405412141</v>
      </c>
      <c r="X87" s="265">
        <v>6.2772056721145317E-2</v>
      </c>
      <c r="Y87" s="265">
        <v>0.89994384848232434</v>
      </c>
      <c r="Z87" s="265">
        <v>0.89994384848232434</v>
      </c>
      <c r="AA87" s="267">
        <v>0.14364799994299679</v>
      </c>
    </row>
    <row r="88" spans="1:27" s="186" customFormat="1">
      <c r="A88" s="264" t="s">
        <v>742</v>
      </c>
      <c r="B88" s="81">
        <v>474</v>
      </c>
      <c r="C88" s="265">
        <v>5.5277553516819608E-2</v>
      </c>
      <c r="D88" s="265">
        <v>0.10754020914860581</v>
      </c>
      <c r="E88" s="265">
        <v>0.1114299512615283</v>
      </c>
      <c r="F88" s="265">
        <v>0.2391353432290545</v>
      </c>
      <c r="G88" s="266">
        <v>1.265533024520058</v>
      </c>
      <c r="H88" s="266">
        <v>1.319141562834147</v>
      </c>
      <c r="I88" s="265">
        <v>0.1007229485831503</v>
      </c>
      <c r="J88" s="265">
        <v>0.42660275234298117</v>
      </c>
      <c r="K88" s="265">
        <v>4.4999999999999998E-2</v>
      </c>
      <c r="L88" s="265">
        <v>0.14825911651420851</v>
      </c>
      <c r="M88" s="265">
        <v>9.0746896774158967E-2</v>
      </c>
      <c r="N88" s="266">
        <v>1.111931090053579</v>
      </c>
      <c r="O88" s="266">
        <v>2.370177417126246</v>
      </c>
      <c r="P88" s="266">
        <v>14.179658491510811</v>
      </c>
      <c r="Q88" s="266">
        <v>20.883648898155741</v>
      </c>
      <c r="R88" s="266">
        <v>3.6375476347734939</v>
      </c>
      <c r="S88" s="266">
        <v>119.5368755354244</v>
      </c>
      <c r="T88" s="265">
        <v>0.21134425082069541</v>
      </c>
      <c r="U88" s="265">
        <v>3.7141311738761992E-2</v>
      </c>
      <c r="V88" s="265">
        <v>4.3197098809124632E-2</v>
      </c>
      <c r="W88" s="265">
        <v>0.69866012836821778</v>
      </c>
      <c r="X88" s="265">
        <v>7.6901147544258586E-2</v>
      </c>
      <c r="Y88" s="265">
        <v>0.81774943665528843</v>
      </c>
      <c r="Z88" s="265">
        <v>0.81774943665528843</v>
      </c>
      <c r="AA88" s="267">
        <v>0.11021431125517731</v>
      </c>
    </row>
    <row r="89" spans="1:27" s="186" customFormat="1">
      <c r="A89" s="264" t="s">
        <v>743</v>
      </c>
      <c r="B89" s="81">
        <v>317</v>
      </c>
      <c r="C89" s="265">
        <v>9.8767121951219519E-2</v>
      </c>
      <c r="D89" s="265">
        <v>0.15019014449663251</v>
      </c>
      <c r="E89" s="265">
        <v>0.1062378612936018</v>
      </c>
      <c r="F89" s="265">
        <v>0.23362563155769361</v>
      </c>
      <c r="G89" s="266">
        <v>0.58676099416411487</v>
      </c>
      <c r="H89" s="266">
        <v>0.88899986531857755</v>
      </c>
      <c r="I89" s="265">
        <v>7.4140191676688089E-2</v>
      </c>
      <c r="J89" s="265">
        <v>0.39022571850768167</v>
      </c>
      <c r="K89" s="265">
        <v>4.0999999999999988E-2</v>
      </c>
      <c r="L89" s="265">
        <v>0.43302255769699732</v>
      </c>
      <c r="M89" s="265">
        <v>5.5226982423826607E-2</v>
      </c>
      <c r="N89" s="266">
        <v>0.81191636603005801</v>
      </c>
      <c r="O89" s="266">
        <v>2.35347199900264</v>
      </c>
      <c r="P89" s="266">
        <v>7.0609081605526542</v>
      </c>
      <c r="Q89" s="266">
        <v>15.54338470649706</v>
      </c>
      <c r="R89" s="266">
        <v>1.735058596046827</v>
      </c>
      <c r="S89" s="266">
        <v>92.735170102606787</v>
      </c>
      <c r="T89" s="265">
        <v>1.505543660207547E-2</v>
      </c>
      <c r="U89" s="265">
        <v>0.1294523901815528</v>
      </c>
      <c r="V89" s="265">
        <v>-3.3247556018034911E-2</v>
      </c>
      <c r="W89" s="265">
        <v>-0.30530240917215568</v>
      </c>
      <c r="X89" s="265">
        <v>7.756116991482688E-2</v>
      </c>
      <c r="Y89" s="265">
        <v>1.007939826034062</v>
      </c>
      <c r="Z89" s="265">
        <v>1.007939826034062</v>
      </c>
      <c r="AA89" s="267">
        <v>0.15099088699189669</v>
      </c>
    </row>
    <row r="90" spans="1:27" s="186" customFormat="1">
      <c r="A90" s="264" t="s">
        <v>744</v>
      </c>
      <c r="B90" s="81">
        <v>54</v>
      </c>
      <c r="C90" s="265">
        <v>2.582594594594595E-2</v>
      </c>
      <c r="D90" s="265">
        <v>0.3197264984417853</v>
      </c>
      <c r="E90" s="265">
        <v>0.1932211280841413</v>
      </c>
      <c r="F90" s="265">
        <v>0.27132917495764508</v>
      </c>
      <c r="G90" s="266">
        <v>0.8656273334860688</v>
      </c>
      <c r="H90" s="266">
        <v>1.0379120997158171</v>
      </c>
      <c r="I90" s="265">
        <v>8.3342967762437464E-2</v>
      </c>
      <c r="J90" s="265">
        <v>0.29526458173585513</v>
      </c>
      <c r="K90" s="265">
        <v>4.0999999999999988E-2</v>
      </c>
      <c r="L90" s="265">
        <v>0.24468976398994699</v>
      </c>
      <c r="M90" s="265">
        <v>7.0403780930850632E-2</v>
      </c>
      <c r="N90" s="266">
        <v>0.73238859170149795</v>
      </c>
      <c r="O90" s="266">
        <v>4.0288122013152288</v>
      </c>
      <c r="P90" s="266">
        <v>11.102369090883281</v>
      </c>
      <c r="Q90" s="266">
        <v>12.54154012804559</v>
      </c>
      <c r="R90" s="266">
        <v>3.496303226723056</v>
      </c>
      <c r="S90" s="266">
        <v>18.325082486391871</v>
      </c>
      <c r="T90" s="265">
        <v>0.19320407975465881</v>
      </c>
      <c r="U90" s="265">
        <v>3.5413127558190031E-2</v>
      </c>
      <c r="V90" s="265">
        <v>2.327332631423177E-2</v>
      </c>
      <c r="W90" s="265">
        <v>0.1969942866444816</v>
      </c>
      <c r="X90" s="265">
        <v>0.2083783803125481</v>
      </c>
      <c r="Y90" s="265">
        <v>0.94664308561097354</v>
      </c>
      <c r="Z90" s="265">
        <v>0.94664308561097354</v>
      </c>
      <c r="AA90" s="267">
        <v>0.32111584326550852</v>
      </c>
    </row>
    <row r="91" spans="1:27" s="186" customFormat="1">
      <c r="A91" s="264" t="s">
        <v>745</v>
      </c>
      <c r="B91" s="81">
        <v>265</v>
      </c>
      <c r="C91" s="265">
        <v>0.11458125</v>
      </c>
      <c r="D91" s="265">
        <v>6.9074068160794769E-2</v>
      </c>
      <c r="E91" s="265">
        <v>0.10190940887978869</v>
      </c>
      <c r="F91" s="265">
        <v>0.23197501883469579</v>
      </c>
      <c r="G91" s="266">
        <v>0.79408581137578138</v>
      </c>
      <c r="H91" s="266">
        <v>1.0876685300485349</v>
      </c>
      <c r="I91" s="265">
        <v>8.6417915156999439E-2</v>
      </c>
      <c r="J91" s="265">
        <v>0.32744211394315742</v>
      </c>
      <c r="K91" s="265">
        <v>4.0999999999999988E-2</v>
      </c>
      <c r="L91" s="265">
        <v>0.38950390109512312</v>
      </c>
      <c r="M91" s="265">
        <v>6.4623257417901522E-2</v>
      </c>
      <c r="N91" s="266">
        <v>1.7767152393090471</v>
      </c>
      <c r="O91" s="266">
        <v>1.3048629010736359</v>
      </c>
      <c r="P91" s="266">
        <v>10.46762157330528</v>
      </c>
      <c r="Q91" s="266">
        <v>18.459982848266701</v>
      </c>
      <c r="R91" s="266">
        <v>1.856373018289718</v>
      </c>
      <c r="S91" s="266">
        <v>85.833401677625943</v>
      </c>
      <c r="T91" s="265">
        <v>3.097758057612315E-2</v>
      </c>
      <c r="U91" s="265">
        <v>5.2178692515681357E-2</v>
      </c>
      <c r="V91" s="265">
        <v>4.1030965791588207E-2</v>
      </c>
      <c r="W91" s="265">
        <v>0.98004683220829014</v>
      </c>
      <c r="X91" s="265">
        <v>0.1240091487567222</v>
      </c>
      <c r="Y91" s="265">
        <v>0.60765139720902905</v>
      </c>
      <c r="Z91" s="265">
        <v>0.60765139720902905</v>
      </c>
      <c r="AA91" s="267">
        <v>7.0518490580103468E-2</v>
      </c>
    </row>
    <row r="92" spans="1:27" s="186" customFormat="1">
      <c r="A92" s="264" t="s">
        <v>746</v>
      </c>
      <c r="B92" s="81">
        <v>52</v>
      </c>
      <c r="C92" s="265">
        <v>7.0365116279069759E-2</v>
      </c>
      <c r="D92" s="265">
        <v>0.23181237931035839</v>
      </c>
      <c r="E92" s="265">
        <v>9.4838513497118332E-2</v>
      </c>
      <c r="F92" s="265">
        <v>0.2488039189456572</v>
      </c>
      <c r="G92" s="266">
        <v>0.82726899943461329</v>
      </c>
      <c r="H92" s="266">
        <v>1.0441121159152089</v>
      </c>
      <c r="I92" s="265">
        <v>8.3726128763559921E-2</v>
      </c>
      <c r="J92" s="265">
        <v>0.19145465803549991</v>
      </c>
      <c r="K92" s="265">
        <v>3.5499999999999997E-2</v>
      </c>
      <c r="L92" s="265">
        <v>0.28228292334074701</v>
      </c>
      <c r="M92" s="265">
        <v>6.7537307903675639E-2</v>
      </c>
      <c r="N92" s="266">
        <v>0.52077612717180699</v>
      </c>
      <c r="O92" s="266">
        <v>3.7107544376568669</v>
      </c>
      <c r="P92" s="266">
        <v>10.91335560229394</v>
      </c>
      <c r="Q92" s="266">
        <v>15.821866749016181</v>
      </c>
      <c r="R92" s="266">
        <v>2.4781232111673721</v>
      </c>
      <c r="S92" s="266">
        <v>24.178380061480929</v>
      </c>
      <c r="T92" s="265">
        <v>0.10024262035331361</v>
      </c>
      <c r="U92" s="265">
        <v>0.170651201871164</v>
      </c>
      <c r="V92" s="265">
        <v>0.1187551063838994</v>
      </c>
      <c r="W92" s="265">
        <v>0.7183144141858554</v>
      </c>
      <c r="X92" s="265">
        <v>0.15299034465361691</v>
      </c>
      <c r="Y92" s="265">
        <v>0.28574781455766601</v>
      </c>
      <c r="Z92" s="265">
        <v>0.28574781455766601</v>
      </c>
      <c r="AA92" s="267">
        <v>0.2345850894582826</v>
      </c>
    </row>
    <row r="93" spans="1:27" s="186" customFormat="1">
      <c r="A93" s="264" t="s">
        <v>747</v>
      </c>
      <c r="B93" s="81">
        <v>208</v>
      </c>
      <c r="C93" s="265">
        <v>6.0866052631578953E-2</v>
      </c>
      <c r="D93" s="265">
        <v>1.8905812975603571E-2</v>
      </c>
      <c r="E93" s="265">
        <v>4.2618428645194058E-2</v>
      </c>
      <c r="F93" s="265">
        <v>0.26864041811728151</v>
      </c>
      <c r="G93" s="266">
        <v>0.65401743584231042</v>
      </c>
      <c r="H93" s="266">
        <v>0.94132781113745656</v>
      </c>
      <c r="I93" s="265">
        <v>7.7374058728294809E-2</v>
      </c>
      <c r="J93" s="265">
        <v>0.32563675681766902</v>
      </c>
      <c r="K93" s="265">
        <v>4.0999999999999988E-2</v>
      </c>
      <c r="L93" s="265">
        <v>0.42740494417367791</v>
      </c>
      <c r="M93" s="265">
        <v>5.7324040291399841E-2</v>
      </c>
      <c r="N93" s="266">
        <v>1.197206345153875</v>
      </c>
      <c r="O93" s="266">
        <v>1.467317636446611</v>
      </c>
      <c r="P93" s="266">
        <v>8.8441692235193745</v>
      </c>
      <c r="Q93" s="266">
        <v>46.036140744708312</v>
      </c>
      <c r="R93" s="266">
        <v>1.9990651194023901</v>
      </c>
      <c r="S93" s="266">
        <v>21.05308896631561</v>
      </c>
      <c r="T93" s="265">
        <v>8.028333995599489E-2</v>
      </c>
      <c r="U93" s="265">
        <v>0.1060141875767263</v>
      </c>
      <c r="V93" s="265">
        <v>8.3770387318102685E-2</v>
      </c>
      <c r="W93" s="265">
        <v>14.60238129327753</v>
      </c>
      <c r="X93" s="265">
        <v>-3.8896485864678872E-2</v>
      </c>
      <c r="Y93" s="265">
        <v>3.36241749745922E-3</v>
      </c>
      <c r="Z93" s="265">
        <v>3.3624174974592469E-3</v>
      </c>
      <c r="AA93" s="267">
        <v>4.0952055566541468E-2</v>
      </c>
    </row>
    <row r="94" spans="1:27" s="186" customFormat="1">
      <c r="A94" s="264" t="s">
        <v>748</v>
      </c>
      <c r="B94" s="81">
        <v>52</v>
      </c>
      <c r="C94" s="265">
        <v>1.719816326530612E-2</v>
      </c>
      <c r="D94" s="265">
        <v>9.4763675704296127E-2</v>
      </c>
      <c r="E94" s="265">
        <v>5.8704495515214068E-2</v>
      </c>
      <c r="F94" s="265">
        <v>0.1851274418295068</v>
      </c>
      <c r="G94" s="266">
        <v>0.41409024327360072</v>
      </c>
      <c r="H94" s="266">
        <v>0.65440815968197519</v>
      </c>
      <c r="I94" s="265">
        <v>5.9642424268346067E-2</v>
      </c>
      <c r="J94" s="265">
        <v>0.2012628625899196</v>
      </c>
      <c r="K94" s="265">
        <v>3.5499999999999997E-2</v>
      </c>
      <c r="L94" s="265">
        <v>0.460421552298167</v>
      </c>
      <c r="M94" s="265">
        <v>4.4326075778080912E-2</v>
      </c>
      <c r="N94" s="266">
        <v>0.76217329275885226</v>
      </c>
      <c r="O94" s="266">
        <v>2.2773484960984192</v>
      </c>
      <c r="P94" s="266">
        <v>12.583122081418621</v>
      </c>
      <c r="Q94" s="266">
        <v>24.103653316433618</v>
      </c>
      <c r="R94" s="266">
        <v>1.71822357180121</v>
      </c>
      <c r="S94" s="266">
        <v>419.58719520206699</v>
      </c>
      <c r="T94" s="265">
        <v>-1.893494011417507E-2</v>
      </c>
      <c r="U94" s="265">
        <v>0.13084440814504569</v>
      </c>
      <c r="V94" s="265">
        <v>9.1300807329208214E-2</v>
      </c>
      <c r="W94" s="265">
        <v>1.1766118784543309</v>
      </c>
      <c r="X94" s="265">
        <v>0.1223556398908005</v>
      </c>
      <c r="Y94" s="265">
        <v>0.58934507208716191</v>
      </c>
      <c r="Z94" s="265">
        <v>0.58934507208716191</v>
      </c>
      <c r="AA94" s="267">
        <v>9.4453872812237591E-2</v>
      </c>
    </row>
    <row r="95" spans="1:27" s="186" customFormat="1">
      <c r="A95" s="264" t="s">
        <v>749</v>
      </c>
      <c r="B95" s="81">
        <v>99</v>
      </c>
      <c r="C95" s="265">
        <v>0.11742507042253519</v>
      </c>
      <c r="D95" s="265">
        <v>0.28030104886340212</v>
      </c>
      <c r="E95" s="265">
        <v>7.6681974673509706E-2</v>
      </c>
      <c r="F95" s="265">
        <v>0.23313559748284821</v>
      </c>
      <c r="G95" s="266">
        <v>0.69323750701010378</v>
      </c>
      <c r="H95" s="266">
        <v>0.94873720922049143</v>
      </c>
      <c r="I95" s="265">
        <v>7.7831959529826369E-2</v>
      </c>
      <c r="J95" s="265">
        <v>0.26753958736892619</v>
      </c>
      <c r="K95" s="265">
        <v>4.0999999999999988E-2</v>
      </c>
      <c r="L95" s="265">
        <v>0.38063000661207469</v>
      </c>
      <c r="M95" s="265">
        <v>5.9801912150781462E-2</v>
      </c>
      <c r="N95" s="266">
        <v>0.33506870152733098</v>
      </c>
      <c r="O95" s="266">
        <v>4.9808975527590187</v>
      </c>
      <c r="P95" s="266">
        <v>12.4705014050241</v>
      </c>
      <c r="Q95" s="266">
        <v>17.826913556376731</v>
      </c>
      <c r="R95" s="266">
        <v>1.860710437736433</v>
      </c>
      <c r="S95" s="266">
        <v>30.352382953858509</v>
      </c>
      <c r="T95" s="265">
        <v>2.5091962343796511E-2</v>
      </c>
      <c r="U95" s="265">
        <v>0.25788681671946628</v>
      </c>
      <c r="V95" s="265">
        <v>0.17603478894511421</v>
      </c>
      <c r="W95" s="265">
        <v>1.177599749568401</v>
      </c>
      <c r="X95" s="265">
        <v>0.1068679398198908</v>
      </c>
      <c r="Y95" s="265">
        <v>0.623891068582905</v>
      </c>
      <c r="Z95" s="265">
        <v>0.48534449568443838</v>
      </c>
      <c r="AA95" s="267">
        <v>0.27798498043394448</v>
      </c>
    </row>
    <row r="96" spans="1:27" ht="14" customHeight="1">
      <c r="A96" s="264" t="s">
        <v>750</v>
      </c>
      <c r="B96" s="81">
        <v>44394</v>
      </c>
      <c r="C96" s="265">
        <v>8.3788721210638073E-2</v>
      </c>
      <c r="D96" s="265">
        <v>9.2822397338564039E-2</v>
      </c>
      <c r="E96" s="265">
        <v>6.1461844913619453E-2</v>
      </c>
      <c r="F96" s="265">
        <v>0.2243749214776575</v>
      </c>
      <c r="G96" s="266">
        <v>0.79436001619146235</v>
      </c>
      <c r="H96" s="266">
        <v>1.077024080877296</v>
      </c>
      <c r="I96" s="265">
        <v>8.5760088198216899E-2</v>
      </c>
      <c r="J96" s="265">
        <v>0.39219614049933821</v>
      </c>
      <c r="K96" s="265">
        <v>4.0999999999999988E-2</v>
      </c>
      <c r="L96" s="265">
        <v>0.41491763375691759</v>
      </c>
      <c r="M96" s="265">
        <v>6.281635120936517E-2</v>
      </c>
      <c r="N96" s="266">
        <v>0.75207169160379705</v>
      </c>
      <c r="O96" s="266">
        <v>2.2831743272090632</v>
      </c>
      <c r="P96" s="266">
        <v>14.08025944822832</v>
      </c>
      <c r="Q96" s="266">
        <v>23.080331977115609</v>
      </c>
      <c r="R96" s="266">
        <v>1.901057323351218</v>
      </c>
      <c r="S96" s="266">
        <v>65.24422428128095</v>
      </c>
      <c r="T96" s="265">
        <v>-1.1743124969509711</v>
      </c>
      <c r="U96" s="265">
        <v>5.8716791740073777E-2</v>
      </c>
      <c r="V96" s="265">
        <v>3.9667942141772557E-2</v>
      </c>
      <c r="W96" s="265">
        <v>0.69129623481873859</v>
      </c>
      <c r="X96" s="265">
        <v>0.1068679398198908</v>
      </c>
      <c r="Y96" s="265">
        <v>0.48534449568443838</v>
      </c>
      <c r="Z96" s="265">
        <v>0.48534449568443838</v>
      </c>
      <c r="AA96" s="267">
        <v>9.4154458234827126E-2</v>
      </c>
    </row>
    <row r="97" spans="1:27" ht="14" customHeight="1">
      <c r="A97" s="264" t="s">
        <v>751</v>
      </c>
      <c r="B97" s="81">
        <v>39677</v>
      </c>
      <c r="C97" s="265">
        <v>8.0442976894037774E-2</v>
      </c>
      <c r="D97" s="265">
        <v>9.7838877726294335E-2</v>
      </c>
      <c r="E97" s="265">
        <v>9.7794756768123367E-2</v>
      </c>
      <c r="F97" s="265">
        <v>0.23581206034512411</v>
      </c>
      <c r="G97" s="266">
        <v>0.91554827933421679</v>
      </c>
      <c r="H97" s="266">
        <v>1.1123314545477001</v>
      </c>
      <c r="I97" s="265">
        <v>8.7942083891047837E-2</v>
      </c>
      <c r="J97" s="265">
        <v>0.40305931103252057</v>
      </c>
      <c r="K97" s="265">
        <v>4.4999999999999998E-2</v>
      </c>
      <c r="L97" s="265">
        <v>0.28486428891803139</v>
      </c>
      <c r="M97" s="265">
        <v>7.2414962197429003E-2</v>
      </c>
      <c r="N97" s="266">
        <v>1.1313438759338259</v>
      </c>
      <c r="O97" s="266">
        <v>1.8892079244115061</v>
      </c>
      <c r="P97" s="266">
        <v>11.186529601930101</v>
      </c>
      <c r="Q97" s="266">
        <v>18.66268459767538</v>
      </c>
      <c r="R97" s="266">
        <v>2.261506936776664</v>
      </c>
      <c r="S97" s="266">
        <v>66.065306616025794</v>
      </c>
      <c r="T97" s="265">
        <v>0.1092099653716192</v>
      </c>
      <c r="U97" s="265">
        <v>6.3241787581232944E-2</v>
      </c>
      <c r="V97" s="265">
        <v>4.0995832280716897E-2</v>
      </c>
      <c r="W97" s="265">
        <v>0.69362005722381381</v>
      </c>
      <c r="X97" s="265">
        <v>0.1040967822270143</v>
      </c>
      <c r="Y97" s="265">
        <v>0.54723408358956294</v>
      </c>
      <c r="Z97" s="265">
        <v>0.54723408358956294</v>
      </c>
      <c r="AA97" s="267">
        <v>9.9374475310994193E-2</v>
      </c>
    </row>
  </sheetData>
  <pageMargins left="0.75" right="0.75" top="1" bottom="1" header="0.5" footer="0.5"/>
  <pageSetup orientation="portrait" horizontalDpi="4294967292" verticalDpi="429496729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6"/>
  <sheetViews>
    <sheetView workbookViewId="0">
      <selection activeCell="C15" sqref="C15"/>
    </sheetView>
  </sheetViews>
  <sheetFormatPr baseColWidth="10" defaultRowHeight="13"/>
  <cols>
    <col min="1" max="1" width="6.33203125" bestFit="1" customWidth="1"/>
    <col min="2" max="2" width="16.5" bestFit="1" customWidth="1"/>
    <col min="3" max="3" width="18.33203125" bestFit="1" customWidth="1"/>
    <col min="4" max="5" width="12.33203125" bestFit="1" customWidth="1"/>
    <col min="6" max="6" width="17.6640625" bestFit="1" customWidth="1"/>
  </cols>
  <sheetData>
    <row r="1" spans="1:6" s="203" customFormat="1">
      <c r="A1" s="203" t="s">
        <v>752</v>
      </c>
      <c r="B1" s="203" t="s">
        <v>753</v>
      </c>
      <c r="C1" s="203" t="s">
        <v>754</v>
      </c>
      <c r="D1" s="203" t="s">
        <v>755</v>
      </c>
      <c r="E1" s="203" t="s">
        <v>346</v>
      </c>
      <c r="F1" s="203" t="s">
        <v>234</v>
      </c>
    </row>
    <row r="2" spans="1:6">
      <c r="A2" t="s">
        <v>48</v>
      </c>
      <c r="B2" t="s">
        <v>756</v>
      </c>
      <c r="C2" t="s">
        <v>757</v>
      </c>
      <c r="D2" t="s">
        <v>758</v>
      </c>
      <c r="E2">
        <v>1</v>
      </c>
      <c r="F2" t="s">
        <v>758</v>
      </c>
    </row>
    <row r="3" spans="1:6">
      <c r="A3" t="s">
        <v>21</v>
      </c>
      <c r="B3" t="s">
        <v>94</v>
      </c>
      <c r="C3" t="s">
        <v>8</v>
      </c>
      <c r="D3" t="s">
        <v>346</v>
      </c>
      <c r="E3">
        <v>2</v>
      </c>
      <c r="F3" t="s">
        <v>330</v>
      </c>
    </row>
    <row r="4" spans="1:6">
      <c r="C4" t="s">
        <v>335</v>
      </c>
      <c r="D4" t="s">
        <v>759</v>
      </c>
      <c r="F4" t="s">
        <v>760</v>
      </c>
    </row>
    <row r="5" spans="1:6">
      <c r="C5" t="s">
        <v>761</v>
      </c>
      <c r="F5" t="s">
        <v>762</v>
      </c>
    </row>
    <row r="6" spans="1:6">
      <c r="F6" t="s">
        <v>763</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44"/>
  <sheetViews>
    <sheetView tabSelected="1" zoomScaleNormal="100" workbookViewId="0">
      <selection activeCell="E38" sqref="E38"/>
    </sheetView>
  </sheetViews>
  <sheetFormatPr baseColWidth="10" defaultRowHeight="16"/>
  <cols>
    <col min="1" max="1" width="23" style="31" bestFit="1" customWidth="1"/>
    <col min="2" max="2" width="14.33203125" style="31" customWidth="1"/>
    <col min="3" max="3" width="20.6640625" style="35" customWidth="1"/>
    <col min="4" max="4" width="22.5" style="35" customWidth="1"/>
    <col min="5" max="5" width="15" style="35" customWidth="1"/>
    <col min="6" max="7" width="14.33203125" style="35" customWidth="1"/>
    <col min="8" max="8" width="16.33203125" style="35" customWidth="1"/>
    <col min="9" max="9" width="14.33203125" style="35" customWidth="1"/>
    <col min="10" max="10" width="20" style="35" customWidth="1"/>
    <col min="11" max="13" width="14.33203125" style="35" customWidth="1"/>
    <col min="14" max="14" width="12.6640625" bestFit="1" customWidth="1"/>
  </cols>
  <sheetData>
    <row r="1" spans="1:14">
      <c r="A1" s="29"/>
      <c r="B1" s="30" t="s">
        <v>112</v>
      </c>
      <c r="C1" s="30">
        <v>1</v>
      </c>
      <c r="D1" s="30">
        <v>2</v>
      </c>
      <c r="E1" s="30">
        <v>3</v>
      </c>
      <c r="F1" s="30">
        <v>4</v>
      </c>
      <c r="G1" s="30">
        <v>5</v>
      </c>
      <c r="H1" s="30">
        <v>6</v>
      </c>
      <c r="I1" s="30">
        <v>7</v>
      </c>
      <c r="J1" s="30">
        <v>8</v>
      </c>
      <c r="K1" s="30">
        <v>9</v>
      </c>
      <c r="L1" s="30">
        <v>10</v>
      </c>
      <c r="M1" s="34" t="s">
        <v>113</v>
      </c>
    </row>
    <row r="2" spans="1:14">
      <c r="A2" s="329" t="s">
        <v>222</v>
      </c>
      <c r="B2" s="30">
        <v>2020</v>
      </c>
      <c r="C2" s="30">
        <v>2021</v>
      </c>
      <c r="D2" s="30">
        <v>2022</v>
      </c>
      <c r="E2" s="30">
        <v>2023</v>
      </c>
      <c r="F2" s="30">
        <v>2024</v>
      </c>
      <c r="G2" s="30">
        <v>2025</v>
      </c>
      <c r="H2" s="30">
        <v>2026</v>
      </c>
      <c r="I2" s="30">
        <v>2027</v>
      </c>
      <c r="J2" s="30">
        <v>2028</v>
      </c>
      <c r="K2" s="30">
        <v>2029</v>
      </c>
      <c r="L2" s="30">
        <v>2030</v>
      </c>
      <c r="M2" s="34"/>
    </row>
    <row r="3" spans="1:14">
      <c r="A3" s="31" t="s">
        <v>114</v>
      </c>
      <c r="B3" s="40"/>
      <c r="C3" s="41">
        <v>0.39440171146208558</v>
      </c>
      <c r="D3" s="41">
        <f>'Input sheet'!B23</f>
        <v>7.0000000000000007E-2</v>
      </c>
      <c r="E3" s="41">
        <f>D3</f>
        <v>7.0000000000000007E-2</v>
      </c>
      <c r="F3" s="41">
        <f>'Input sheet'!B23</f>
        <v>7.0000000000000007E-2</v>
      </c>
      <c r="G3" s="41">
        <f>F3</f>
        <v>7.0000000000000007E-2</v>
      </c>
      <c r="H3" s="41">
        <f>G3-((G3-$L$3)/5)</f>
        <v>6.6000000000000003E-2</v>
      </c>
      <c r="I3" s="41">
        <f>G3-((G3-$L$3)/5)*2</f>
        <v>6.2000000000000006E-2</v>
      </c>
      <c r="J3" s="41">
        <f>G3-((G3-$L$3)/5)*3</f>
        <v>5.8000000000000003E-2</v>
      </c>
      <c r="K3" s="41">
        <f>G3-((G3-$L$3)/5)*4</f>
        <v>5.4000000000000006E-2</v>
      </c>
      <c r="L3" s="41">
        <f>IF('Input sheet'!B24="Yes",'Input sheet'!B25,M3)</f>
        <v>0.05</v>
      </c>
      <c r="M3" s="42">
        <f>IF('Input sheet'!B57="Yes",'Input sheet'!B58,'Input sheet'!B30)</f>
        <v>1.4999999999999999E-2</v>
      </c>
    </row>
    <row r="4" spans="1:14" ht="15" customHeight="1">
      <c r="A4" s="31" t="s">
        <v>15</v>
      </c>
      <c r="B4" s="277">
        <f>'Input sheet'!B8</f>
        <v>23531</v>
      </c>
      <c r="C4" s="278">
        <f t="shared" ref="C4:M4" si="0">B4*(1+C3)</f>
        <v>32811.666672414336</v>
      </c>
      <c r="D4" s="278">
        <f t="shared" si="0"/>
        <v>35108.48333948334</v>
      </c>
      <c r="E4" s="278">
        <f t="shared" si="0"/>
        <v>37566.077173247177</v>
      </c>
      <c r="F4" s="278">
        <f t="shared" si="0"/>
        <v>40195.702575374482</v>
      </c>
      <c r="G4" s="278">
        <f t="shared" si="0"/>
        <v>43009.401755650695</v>
      </c>
      <c r="H4" s="278">
        <f t="shared" si="0"/>
        <v>45848.022271523645</v>
      </c>
      <c r="I4" s="278">
        <f t="shared" si="0"/>
        <v>48690.599652358113</v>
      </c>
      <c r="J4" s="278">
        <f t="shared" si="0"/>
        <v>51514.654432194882</v>
      </c>
      <c r="K4" s="278">
        <f t="shared" si="0"/>
        <v>54296.445771533407</v>
      </c>
      <c r="L4" s="278">
        <f t="shared" si="0"/>
        <v>57011.26806011008</v>
      </c>
      <c r="M4" s="279">
        <f t="shared" si="0"/>
        <v>57866.437081011725</v>
      </c>
    </row>
    <row r="5" spans="1:14" ht="15" customHeight="1">
      <c r="A5" s="31" t="s">
        <v>115</v>
      </c>
      <c r="B5" s="43">
        <f>B6/B4</f>
        <v>0.28631734024620009</v>
      </c>
      <c r="C5" s="41">
        <f>IF(C1&gt;'Input sheet'!$B$27,'Input sheet'!$B$26,'Input sheet'!$B$26-(('Input sheet'!$B$26-$B$5)/'Input sheet'!$B$27)*('Input sheet'!$B$27-C1))</f>
        <v>0.29268560622158007</v>
      </c>
      <c r="D5" s="41">
        <f>IF(D1&gt;'Input sheet'!$B$27,'Input sheet'!$B$26,'Input sheet'!$B$26-(('Input sheet'!$B$26-$B$5)/'Input sheet'!$B$27)*('Input sheet'!$B$27-D1))</f>
        <v>0.29905387219696006</v>
      </c>
      <c r="E5" s="41">
        <f>IF(E1&gt;'Input sheet'!$B$27,'Input sheet'!$B$26,'Input sheet'!$B$26-(('Input sheet'!$B$26-$B$5)/'Input sheet'!$B$27)*('Input sheet'!$B$27-E1))</f>
        <v>0.30542213817234004</v>
      </c>
      <c r="F5" s="41">
        <f>IF(F1&gt;'Input sheet'!$B$27,'Input sheet'!$B$26,'Input sheet'!$B$26-(('Input sheet'!$B$26-$B$5)/'Input sheet'!$B$27)*('Input sheet'!$B$27-F1))</f>
        <v>0.31179040414772008</v>
      </c>
      <c r="G5" s="41">
        <f>IF(G1&gt;'Input sheet'!$B$27,'Input sheet'!$B$26,'Input sheet'!$B$26-(('Input sheet'!$B$26-$B$5)/'Input sheet'!$B$27)*('Input sheet'!$B$27-G1))</f>
        <v>0.31815867012310006</v>
      </c>
      <c r="H5" s="41">
        <f>IF(H1&gt;'Input sheet'!$B$27,'Input sheet'!$B$26,'Input sheet'!$B$26-(('Input sheet'!$B$26-$B$5)/'Input sheet'!$B$27)*('Input sheet'!$B$27-H1))</f>
        <v>0.32452693609848005</v>
      </c>
      <c r="I5" s="41">
        <f>IF(I1&gt;'Input sheet'!$B$27,'Input sheet'!$B$26,'Input sheet'!$B$26-(('Input sheet'!$B$26-$B$5)/'Input sheet'!$B$27)*('Input sheet'!$B$27-I1))</f>
        <v>0.33089520207386003</v>
      </c>
      <c r="J5" s="41">
        <f>IF(J1&gt;'Input sheet'!$B$27,'Input sheet'!$B$26,'Input sheet'!$B$26-(('Input sheet'!$B$26-$B$5)/'Input sheet'!$B$27)*('Input sheet'!$B$27-J1))</f>
        <v>0.33726346804924001</v>
      </c>
      <c r="K5" s="41">
        <f>IF(K1&gt;'Input sheet'!$B$27,'Input sheet'!$B$26,'Input sheet'!$B$26-(('Input sheet'!$B$26-$B$5)/'Input sheet'!$B$27)*('Input sheet'!$B$27-K1))</f>
        <v>0.34363173402461999</v>
      </c>
      <c r="L5" s="41">
        <f>IF(L1&gt;'Input sheet'!$B$27,'Input sheet'!$B$26,'Input sheet'!$B$26-(('Input sheet'!$B$26-$B$5)/'Input sheet'!$B$27)*('Input sheet'!$B$27-L1))</f>
        <v>0.35</v>
      </c>
      <c r="M5" s="42">
        <v>0.35</v>
      </c>
    </row>
    <row r="6" spans="1:14" ht="15" customHeight="1">
      <c r="A6" s="31" t="s">
        <v>116</v>
      </c>
      <c r="B6" s="277">
        <f>IF('Input sheet'!B14="Yes",IF('Input sheet'!B13="Yes",'Input sheet'!B9+'Operating lease converter'!F32+'R&amp;D converter'!D39,'Input sheet'!B9+'Operating lease converter'!F32),IF('Input sheet'!B13="Yes",'Input sheet'!B9+'R&amp;D converter'!D39,'Input sheet'!B9))</f>
        <v>6737.3333333333339</v>
      </c>
      <c r="C6" s="278">
        <f t="shared" ref="C6:M6" si="1">C5*C4</f>
        <v>9603.5025511560052</v>
      </c>
      <c r="D6" s="278">
        <f t="shared" si="1"/>
        <v>10499.327889634953</v>
      </c>
      <c r="E6" s="278">
        <f t="shared" si="1"/>
        <v>11473.511613000288</v>
      </c>
      <c r="F6" s="278">
        <f t="shared" si="1"/>
        <v>12532.634350977563</v>
      </c>
      <c r="G6" s="278">
        <f t="shared" si="1"/>
        <v>13683.814065367949</v>
      </c>
      <c r="H6" s="278">
        <f t="shared" si="1"/>
        <v>14878.918193952444</v>
      </c>
      <c r="I6" s="278">
        <f t="shared" si="1"/>
        <v>16111.485811064456</v>
      </c>
      <c r="J6" s="278">
        <f t="shared" si="1"/>
        <v>17374.0110091602</v>
      </c>
      <c r="K6" s="278">
        <f t="shared" si="1"/>
        <v>18657.98181184577</v>
      </c>
      <c r="L6" s="278">
        <f t="shared" si="1"/>
        <v>19953.943821038527</v>
      </c>
      <c r="M6" s="279">
        <f t="shared" si="1"/>
        <v>20253.252978354103</v>
      </c>
      <c r="N6" s="280">
        <f>M6-B6</f>
        <v>13515.919645020769</v>
      </c>
    </row>
    <row r="7" spans="1:14" ht="15" customHeight="1">
      <c r="A7" s="31" t="s">
        <v>117</v>
      </c>
      <c r="B7" s="44">
        <f>'Input sheet'!B20</f>
        <v>9.1099842629830396E-2</v>
      </c>
      <c r="C7" s="45">
        <f>B7</f>
        <v>9.1099842629830396E-2</v>
      </c>
      <c r="D7" s="45">
        <f>C7</f>
        <v>9.1099842629830396E-2</v>
      </c>
      <c r="E7" s="45">
        <f>D7</f>
        <v>9.1099842629830396E-2</v>
      </c>
      <c r="F7" s="45">
        <f>E7</f>
        <v>9.1099842629830396E-2</v>
      </c>
      <c r="G7" s="45">
        <f>F7</f>
        <v>9.1099842629830396E-2</v>
      </c>
      <c r="H7" s="45">
        <f>G7+($M$7-$G$7)/5</f>
        <v>0.12287987410386432</v>
      </c>
      <c r="I7" s="45">
        <f>H7+($M$7-$G$7)/5</f>
        <v>0.15465990557789824</v>
      </c>
      <c r="J7" s="45">
        <f>I7+($M$7-$G$7)/5</f>
        <v>0.18643993705193218</v>
      </c>
      <c r="K7" s="45">
        <f>J7+($M$7-$G$7)/5</f>
        <v>0.21821996852596609</v>
      </c>
      <c r="L7" s="45">
        <f>K7+($M$7-$G$7)/5</f>
        <v>0.25</v>
      </c>
      <c r="M7" s="45">
        <f>IF('Input sheet'!B52="Yes",'Input sheet'!B20,'Input sheet'!B21)</f>
        <v>0.25</v>
      </c>
    </row>
    <row r="8" spans="1:14" ht="15" customHeight="1">
      <c r="A8" s="31" t="s">
        <v>118</v>
      </c>
      <c r="B8" s="277">
        <f>IF(B6&gt;0,B6*(1-B7),B6)</f>
        <v>6123.563326921957</v>
      </c>
      <c r="C8" s="278">
        <f t="shared" ref="C8:L8" si="2">IF(C6&gt;0,IF(C6&lt;B11,C6,C6-(C6-B11)*C7),C6)</f>
        <v>8728.6249800505175</v>
      </c>
      <c r="D8" s="278">
        <f t="shared" si="2"/>
        <v>9542.8407711702203</v>
      </c>
      <c r="E8" s="278">
        <f t="shared" si="2"/>
        <v>10428.276510644429</v>
      </c>
      <c r="F8" s="278">
        <f t="shared" si="2"/>
        <v>11390.913333866301</v>
      </c>
      <c r="G8" s="278">
        <f t="shared" si="2"/>
        <v>12437.22075743707</v>
      </c>
      <c r="H8" s="278">
        <f t="shared" si="2"/>
        <v>13050.598599477871</v>
      </c>
      <c r="I8" s="278">
        <f t="shared" si="2"/>
        <v>13619.684936805581</v>
      </c>
      <c r="J8" s="278">
        <f t="shared" si="2"/>
        <v>14134.801490272795</v>
      </c>
      <c r="K8" s="278">
        <f t="shared" si="2"/>
        <v>14586.437608106738</v>
      </c>
      <c r="L8" s="278">
        <f t="shared" si="2"/>
        <v>14965.457865778895</v>
      </c>
      <c r="M8" s="278">
        <f>M6*(1-M7)</f>
        <v>15189.939733765577</v>
      </c>
    </row>
    <row r="9" spans="1:14" ht="15" customHeight="1">
      <c r="A9" s="31" t="s">
        <v>119</v>
      </c>
      <c r="B9" s="277"/>
      <c r="C9" s="278">
        <f t="shared" ref="C9:L9" si="3">(C4-B4)/C42</f>
        <v>4640.333336207168</v>
      </c>
      <c r="D9" s="278">
        <f t="shared" si="3"/>
        <v>1148.4083335345022</v>
      </c>
      <c r="E9" s="278">
        <f t="shared" si="3"/>
        <v>1228.7969168819182</v>
      </c>
      <c r="F9" s="278">
        <f t="shared" si="3"/>
        <v>1314.8127010636526</v>
      </c>
      <c r="G9" s="278">
        <f t="shared" si="3"/>
        <v>1406.8495901381066</v>
      </c>
      <c r="H9" s="278">
        <f t="shared" si="3"/>
        <v>1419.310257936475</v>
      </c>
      <c r="I9" s="278">
        <f t="shared" si="3"/>
        <v>1421.2886904172337</v>
      </c>
      <c r="J9" s="278">
        <f t="shared" si="3"/>
        <v>1412.0273899183849</v>
      </c>
      <c r="K9" s="278">
        <f t="shared" si="3"/>
        <v>1390.8956696692621</v>
      </c>
      <c r="L9" s="278">
        <f t="shared" si="3"/>
        <v>1357.4111442883368</v>
      </c>
      <c r="M9" s="281">
        <f>IF(M3&gt;0,(M3/M44)*M8,0)</f>
        <v>1898.7424667206972</v>
      </c>
      <c r="N9" s="280">
        <f>SUM(C9:M9)</f>
        <v>18638.876496775738</v>
      </c>
    </row>
    <row r="10" spans="1:14" ht="15" customHeight="1">
      <c r="A10" s="31" t="s">
        <v>120</v>
      </c>
      <c r="B10" s="277"/>
      <c r="C10" s="278">
        <f t="shared" ref="C10:M10" si="4">C8-C9</f>
        <v>4088.2916438433494</v>
      </c>
      <c r="D10" s="278">
        <f t="shared" si="4"/>
        <v>8394.4324376357181</v>
      </c>
      <c r="E10" s="278">
        <f t="shared" si="4"/>
        <v>9199.4795937625113</v>
      </c>
      <c r="F10" s="278">
        <f t="shared" si="4"/>
        <v>10076.100632802649</v>
      </c>
      <c r="G10" s="278">
        <f t="shared" si="4"/>
        <v>11030.371167298963</v>
      </c>
      <c r="H10" s="278">
        <f t="shared" si="4"/>
        <v>11631.288341541396</v>
      </c>
      <c r="I10" s="278">
        <f t="shared" si="4"/>
        <v>12198.396246388347</v>
      </c>
      <c r="J10" s="278">
        <f t="shared" si="4"/>
        <v>12722.774100354411</v>
      </c>
      <c r="K10" s="278">
        <f t="shared" si="4"/>
        <v>13195.541938437476</v>
      </c>
      <c r="L10" s="278">
        <f t="shared" si="4"/>
        <v>13608.046721490558</v>
      </c>
      <c r="M10" s="281">
        <f t="shared" si="4"/>
        <v>13291.197267044879</v>
      </c>
    </row>
    <row r="11" spans="1:14" ht="15" customHeight="1">
      <c r="A11" s="31" t="s">
        <v>121</v>
      </c>
      <c r="B11" s="277">
        <f>IF('Input sheet'!B54="Yes",'Input sheet'!B55,0)</f>
        <v>0</v>
      </c>
      <c r="C11" s="278">
        <f t="shared" ref="C11:M11" si="5">IF(C6&lt;0,B11-C6,IF(B11&gt;C6,B11-C6,0))</f>
        <v>0</v>
      </c>
      <c r="D11" s="278">
        <f t="shared" si="5"/>
        <v>0</v>
      </c>
      <c r="E11" s="278">
        <f t="shared" si="5"/>
        <v>0</v>
      </c>
      <c r="F11" s="278">
        <f t="shared" si="5"/>
        <v>0</v>
      </c>
      <c r="G11" s="278">
        <f t="shared" si="5"/>
        <v>0</v>
      </c>
      <c r="H11" s="278">
        <f t="shared" si="5"/>
        <v>0</v>
      </c>
      <c r="I11" s="278">
        <f t="shared" si="5"/>
        <v>0</v>
      </c>
      <c r="J11" s="278">
        <f t="shared" si="5"/>
        <v>0</v>
      </c>
      <c r="K11" s="278">
        <f t="shared" si="5"/>
        <v>0</v>
      </c>
      <c r="L11" s="278">
        <f t="shared" si="5"/>
        <v>0</v>
      </c>
      <c r="M11" s="278">
        <f t="shared" si="5"/>
        <v>0</v>
      </c>
    </row>
    <row r="12" spans="1:14" ht="15" customHeight="1">
      <c r="B12" s="40"/>
      <c r="C12" s="46"/>
      <c r="D12" s="46"/>
      <c r="E12" s="46"/>
      <c r="F12" s="46"/>
      <c r="G12" s="46"/>
      <c r="H12" s="46"/>
      <c r="I12" s="46"/>
      <c r="J12" s="46"/>
      <c r="K12" s="46"/>
      <c r="L12" s="46"/>
      <c r="M12" s="46"/>
    </row>
    <row r="13" spans="1:14" ht="15" customHeight="1">
      <c r="A13" s="31" t="s">
        <v>122</v>
      </c>
      <c r="B13" s="43"/>
      <c r="C13" s="41">
        <f>'Input sheet'!B31</f>
        <v>8.2370575222963371E-2</v>
      </c>
      <c r="D13" s="41">
        <f>C13</f>
        <v>8.2370575222963371E-2</v>
      </c>
      <c r="E13" s="41">
        <f>D13</f>
        <v>8.2370575222963371E-2</v>
      </c>
      <c r="F13" s="41">
        <f>E13</f>
        <v>8.2370575222963371E-2</v>
      </c>
      <c r="G13" s="41">
        <f>F13</f>
        <v>8.2370575222963371E-2</v>
      </c>
      <c r="H13" s="41">
        <f>G13-($G$13-$M$13)/5</f>
        <v>7.8896460178370695E-2</v>
      </c>
      <c r="I13" s="41">
        <f>H13-($G$13-$M$13)/5</f>
        <v>7.5422345133778018E-2</v>
      </c>
      <c r="J13" s="41">
        <f>I13-($G$13-$M$13)/5</f>
        <v>7.1948230089185342E-2</v>
      </c>
      <c r="K13" s="41">
        <f>J13-($G$13-$M$13)/5</f>
        <v>6.8474115044592665E-2</v>
      </c>
      <c r="L13" s="41">
        <f>K13-($G$13-$M$13)/5</f>
        <v>6.4999999999999988E-2</v>
      </c>
      <c r="M13" s="42">
        <f>IF('Input sheet'!B41="Yes",'Input sheet'!B42,'Input sheet'!B30+0.045)</f>
        <v>6.5000000000000002E-2</v>
      </c>
    </row>
    <row r="14" spans="1:14" ht="15" customHeight="1">
      <c r="A14" s="31" t="s">
        <v>123</v>
      </c>
      <c r="B14" s="40"/>
      <c r="C14" s="88">
        <f>1/(1+C13)</f>
        <v>0.92389799103140313</v>
      </c>
      <c r="D14" s="88">
        <f t="shared" ref="D14:L14" si="6">C14*(1/(1+D13))</f>
        <v>0.85358749783186261</v>
      </c>
      <c r="E14" s="88">
        <f t="shared" si="6"/>
        <v>0.78862777441637999</v>
      </c>
      <c r="F14" s="88">
        <f t="shared" si="6"/>
        <v>0.72861161645486006</v>
      </c>
      <c r="G14" s="88">
        <f t="shared" si="6"/>
        <v>0.67316280868478839</v>
      </c>
      <c r="H14" s="88">
        <f t="shared" si="6"/>
        <v>0.62393643276343358</v>
      </c>
      <c r="I14" s="88">
        <f t="shared" si="6"/>
        <v>0.58017804408352558</v>
      </c>
      <c r="J14" s="88">
        <f t="shared" si="6"/>
        <v>0.5412369998831521</v>
      </c>
      <c r="K14" s="88">
        <f t="shared" si="6"/>
        <v>0.50655134482182906</v>
      </c>
      <c r="L14" s="88">
        <f t="shared" si="6"/>
        <v>0.47563506556040286</v>
      </c>
      <c r="M14" s="46"/>
    </row>
    <row r="15" spans="1:14" ht="15" customHeight="1">
      <c r="A15" s="31" t="s">
        <v>124</v>
      </c>
      <c r="B15" s="40"/>
      <c r="C15" s="278">
        <f t="shared" ref="C15:L15" si="7">C10*C14</f>
        <v>3777.1644364973431</v>
      </c>
      <c r="D15" s="278">
        <f t="shared" si="7"/>
        <v>7165.382580160096</v>
      </c>
      <c r="E15" s="278">
        <f t="shared" si="7"/>
        <v>7254.9651178178328</v>
      </c>
      <c r="F15" s="278">
        <f t="shared" si="7"/>
        <v>7341.563969628176</v>
      </c>
      <c r="G15" s="278">
        <f t="shared" si="7"/>
        <v>7425.2356358146781</v>
      </c>
      <c r="H15" s="278">
        <f t="shared" si="7"/>
        <v>7257.184556264252</v>
      </c>
      <c r="I15" s="278">
        <f t="shared" si="7"/>
        <v>7077.2416751854116</v>
      </c>
      <c r="J15" s="278">
        <f t="shared" si="7"/>
        <v>6886.0360842668906</v>
      </c>
      <c r="K15" s="278">
        <f t="shared" si="7"/>
        <v>6684.219514568349</v>
      </c>
      <c r="L15" s="278">
        <f t="shared" si="7"/>
        <v>6472.4641945251869</v>
      </c>
      <c r="M15" s="46"/>
    </row>
    <row r="16" spans="1:14" ht="15" customHeight="1"/>
    <row r="17" spans="1:11" ht="15" customHeight="1">
      <c r="A17" s="32" t="s">
        <v>125</v>
      </c>
      <c r="B17" s="277">
        <f>M10</f>
        <v>13291.197267044879</v>
      </c>
      <c r="D17" s="35" t="s">
        <v>768</v>
      </c>
      <c r="E17" s="330">
        <f>(($L$4/$C$4)^(1/10))-1</f>
        <v>5.6801061865097813E-2</v>
      </c>
      <c r="G17" s="89"/>
    </row>
    <row r="18" spans="1:11" ht="15" customHeight="1">
      <c r="A18" s="32" t="s">
        <v>126</v>
      </c>
      <c r="B18" s="43">
        <f>M13</f>
        <v>6.5000000000000002E-2</v>
      </c>
      <c r="D18" s="35" t="s">
        <v>769</v>
      </c>
      <c r="E18" s="330">
        <f>(($L$10/$C$10)^(1/10))-1</f>
        <v>0.12778260638562</v>
      </c>
      <c r="G18" s="89"/>
    </row>
    <row r="19" spans="1:11">
      <c r="A19" s="32" t="s">
        <v>127</v>
      </c>
      <c r="B19" s="277">
        <f>B17/(B18-M3)</f>
        <v>265823.9453408976</v>
      </c>
      <c r="D19" s="35" t="s">
        <v>770</v>
      </c>
      <c r="E19" s="330">
        <f>SUM($C$5:$L$5)/10</f>
        <v>0.32134280311079005</v>
      </c>
      <c r="J19" s="35" t="s">
        <v>796</v>
      </c>
      <c r="K19" s="341" t="s">
        <v>797</v>
      </c>
    </row>
    <row r="20" spans="1:11">
      <c r="A20" s="32" t="s">
        <v>128</v>
      </c>
      <c r="B20" s="282">
        <f>B19*L14</f>
        <v>126435.18966974277</v>
      </c>
      <c r="F20" s="89" t="s">
        <v>773</v>
      </c>
      <c r="K20" s="89" t="s">
        <v>820</v>
      </c>
    </row>
    <row r="21" spans="1:11">
      <c r="A21" s="32" t="s">
        <v>129</v>
      </c>
      <c r="B21" s="282">
        <f>SUM(C15:L15)</f>
        <v>67341.457764728213</v>
      </c>
      <c r="C21" s="89" t="s">
        <v>772</v>
      </c>
      <c r="D21" s="35" t="s">
        <v>776</v>
      </c>
      <c r="E21" s="35" t="s">
        <v>776</v>
      </c>
      <c r="F21" s="342"/>
      <c r="G21" s="35" t="s">
        <v>776</v>
      </c>
      <c r="H21" s="35" t="s">
        <v>776</v>
      </c>
      <c r="I21" s="35" t="s">
        <v>776</v>
      </c>
    </row>
    <row r="22" spans="1:11">
      <c r="A22" s="32" t="s">
        <v>130</v>
      </c>
      <c r="B22" s="282">
        <f>B20+B21</f>
        <v>193776.647434471</v>
      </c>
      <c r="C22" s="89" t="s">
        <v>774</v>
      </c>
      <c r="D22" s="89" t="s">
        <v>808</v>
      </c>
      <c r="E22" s="35" t="s">
        <v>798</v>
      </c>
      <c r="F22" s="342" t="s">
        <v>781</v>
      </c>
      <c r="G22" s="35" t="s">
        <v>795</v>
      </c>
      <c r="H22" s="35" t="s">
        <v>805</v>
      </c>
      <c r="I22" s="35" t="s">
        <v>807</v>
      </c>
      <c r="J22" s="89" t="s">
        <v>790</v>
      </c>
      <c r="K22" s="35" t="s">
        <v>819</v>
      </c>
    </row>
    <row r="23" spans="1:11">
      <c r="A23" s="32" t="s">
        <v>131</v>
      </c>
      <c r="B23" s="47">
        <f>IF('Input sheet'!B47="Yes",'Input sheet'!B48,0)</f>
        <v>0</v>
      </c>
      <c r="C23" s="338" t="s">
        <v>775</v>
      </c>
      <c r="D23" s="35">
        <v>26</v>
      </c>
      <c r="E23" s="340">
        <v>35</v>
      </c>
      <c r="F23" s="343">
        <v>0.1</v>
      </c>
      <c r="H23" s="35">
        <v>23.3</v>
      </c>
      <c r="I23" s="35">
        <v>32.65</v>
      </c>
      <c r="J23" s="330">
        <v>5.7700000000000001E-2</v>
      </c>
      <c r="K23" s="337" t="s">
        <v>806</v>
      </c>
    </row>
    <row r="24" spans="1:11">
      <c r="A24" s="32" t="s">
        <v>132</v>
      </c>
      <c r="B24" s="283">
        <f>IF('Input sheet'!B49="B",('Input sheet'!B11+'Input sheet'!B12)*'Input sheet'!B50,'Valuation output'!B22*'Input sheet'!B50)</f>
        <v>96888.3237172355</v>
      </c>
      <c r="C24" s="338" t="s">
        <v>777</v>
      </c>
      <c r="D24" s="35">
        <v>13</v>
      </c>
      <c r="E24" s="340">
        <v>18</v>
      </c>
      <c r="F24" s="343">
        <v>0.12</v>
      </c>
      <c r="H24" s="35">
        <v>15</v>
      </c>
      <c r="I24" s="35">
        <v>25.8</v>
      </c>
      <c r="J24" s="330">
        <v>0.08</v>
      </c>
      <c r="K24" s="337" t="s">
        <v>792</v>
      </c>
    </row>
    <row r="25" spans="1:11">
      <c r="A25" s="32" t="s">
        <v>133</v>
      </c>
      <c r="B25" s="277">
        <f>B22*(1-B23)+B24*B23</f>
        <v>193776.647434471</v>
      </c>
      <c r="C25" s="89" t="s">
        <v>778</v>
      </c>
      <c r="F25" s="344"/>
      <c r="J25" s="330"/>
      <c r="K25" s="89"/>
    </row>
    <row r="26" spans="1:11">
      <c r="A26" s="32" t="s">
        <v>134</v>
      </c>
      <c r="B26" s="277">
        <f>IF('Input sheet'!B14="Yes",'Input sheet'!B12+'Operating lease converter'!C28,'Input sheet'!B12)</f>
        <v>15726</v>
      </c>
      <c r="C26" s="338" t="s">
        <v>779</v>
      </c>
      <c r="D26" s="35">
        <v>2</v>
      </c>
      <c r="E26" s="35">
        <v>4</v>
      </c>
      <c r="F26" s="344">
        <v>0.12</v>
      </c>
      <c r="H26" s="35">
        <v>38.86</v>
      </c>
      <c r="I26" s="35">
        <v>51.3</v>
      </c>
      <c r="J26" s="330">
        <v>4.7300000000000002E-2</v>
      </c>
      <c r="K26" s="337" t="s">
        <v>788</v>
      </c>
    </row>
    <row r="27" spans="1:11">
      <c r="A27" s="32" t="s">
        <v>135</v>
      </c>
      <c r="B27" s="277">
        <f>'Input sheet'!B17</f>
        <v>0</v>
      </c>
      <c r="C27" s="338" t="s">
        <v>780</v>
      </c>
      <c r="E27" s="35">
        <v>8</v>
      </c>
      <c r="F27" s="344">
        <v>0.02</v>
      </c>
      <c r="G27" s="35" t="s">
        <v>818</v>
      </c>
      <c r="H27" s="351" t="s">
        <v>809</v>
      </c>
      <c r="I27" s="351">
        <v>109</v>
      </c>
      <c r="J27" s="330" t="s">
        <v>799</v>
      </c>
      <c r="K27" s="337" t="s">
        <v>800</v>
      </c>
    </row>
    <row r="28" spans="1:11" ht="17" thickBot="1">
      <c r="A28" s="32" t="s">
        <v>136</v>
      </c>
      <c r="B28" s="277">
        <f>IF('Input sheet'!B60="YES",'Input sheet'!B15-'Input sheet'!B61*('Input sheet'!B21-'Input sheet'!B62),'Input sheet'!B15)</f>
        <v>11214</v>
      </c>
      <c r="C28" s="338" t="s">
        <v>782</v>
      </c>
      <c r="E28" s="349">
        <v>13</v>
      </c>
      <c r="F28" s="350">
        <v>0.1</v>
      </c>
      <c r="H28" s="349" t="s">
        <v>810</v>
      </c>
      <c r="I28" s="349">
        <v>50.1</v>
      </c>
      <c r="J28" s="330">
        <v>0.13500000000000001</v>
      </c>
      <c r="K28" s="337" t="s">
        <v>794</v>
      </c>
    </row>
    <row r="29" spans="1:11" ht="17" thickTop="1">
      <c r="A29" s="32" t="s">
        <v>137</v>
      </c>
      <c r="B29" s="277">
        <f>'Input sheet'!B16</f>
        <v>0</v>
      </c>
      <c r="C29" s="35" t="s">
        <v>340</v>
      </c>
      <c r="E29" s="340">
        <v>25</v>
      </c>
      <c r="F29" s="343">
        <v>0.08</v>
      </c>
      <c r="H29" s="35">
        <f>38.86+39.5</f>
        <v>78.36</v>
      </c>
      <c r="I29" s="35">
        <f>I26+I28</f>
        <v>101.4</v>
      </c>
      <c r="J29" s="330"/>
      <c r="K29" s="89"/>
    </row>
    <row r="30" spans="1:11">
      <c r="A30" s="32" t="s">
        <v>138</v>
      </c>
      <c r="B30" s="282">
        <f>B25-B26-B27+B28+B29</f>
        <v>189264.647434471</v>
      </c>
      <c r="C30" s="89" t="s">
        <v>783</v>
      </c>
      <c r="F30" s="344"/>
      <c r="K30" s="337"/>
    </row>
    <row r="31" spans="1:11">
      <c r="A31" s="32" t="s">
        <v>139</v>
      </c>
      <c r="B31" s="284">
        <f>IF('Input sheet'!B33="No",0,'Option value'!D27)</f>
        <v>0</v>
      </c>
      <c r="C31" s="334" t="s">
        <v>784</v>
      </c>
      <c r="E31" s="35">
        <v>4</v>
      </c>
      <c r="F31" s="344">
        <v>0.18</v>
      </c>
      <c r="H31" s="35" t="s">
        <v>811</v>
      </c>
      <c r="I31" s="35">
        <v>9.65</v>
      </c>
      <c r="J31" s="330">
        <v>0.214</v>
      </c>
      <c r="K31" s="337" t="s">
        <v>791</v>
      </c>
    </row>
    <row r="32" spans="1:11">
      <c r="A32" s="32" t="s">
        <v>140</v>
      </c>
      <c r="B32" s="282">
        <f>B30-B31</f>
        <v>189264.647434471</v>
      </c>
      <c r="C32" s="334" t="s">
        <v>785</v>
      </c>
      <c r="E32" s="35">
        <v>9</v>
      </c>
      <c r="F32" s="344">
        <v>7.0000000000000007E-2</v>
      </c>
      <c r="H32" s="35" t="s">
        <v>812</v>
      </c>
      <c r="J32" s="330"/>
      <c r="K32" s="89"/>
    </row>
    <row r="33" spans="1:13">
      <c r="A33" s="32" t="s">
        <v>141</v>
      </c>
      <c r="B33" s="48">
        <f>'Input sheet'!B18</f>
        <v>1128.27</v>
      </c>
      <c r="C33" s="35" t="s">
        <v>340</v>
      </c>
      <c r="E33" s="35">
        <v>13</v>
      </c>
      <c r="F33" s="344">
        <v>0.1</v>
      </c>
      <c r="J33" s="330"/>
      <c r="K33" s="89"/>
    </row>
    <row r="34" spans="1:13">
      <c r="A34" s="32" t="s">
        <v>142</v>
      </c>
      <c r="B34" s="285">
        <f>B32/B33</f>
        <v>167.74765564489971</v>
      </c>
      <c r="C34" s="339" t="s">
        <v>786</v>
      </c>
      <c r="F34" s="344"/>
      <c r="G34" s="35">
        <v>5</v>
      </c>
      <c r="H34" s="35">
        <v>25.04</v>
      </c>
      <c r="I34" s="35">
        <v>65</v>
      </c>
      <c r="J34" s="330">
        <v>0.17</v>
      </c>
      <c r="K34" s="337" t="s">
        <v>789</v>
      </c>
    </row>
    <row r="35" spans="1:13" ht="17" thickBot="1">
      <c r="A35" s="32" t="s">
        <v>143</v>
      </c>
      <c r="B35" s="277">
        <f>'Input sheet'!B19</f>
        <v>145.97999999999999</v>
      </c>
      <c r="C35" s="339" t="s">
        <v>787</v>
      </c>
      <c r="F35" s="347"/>
      <c r="G35" s="348">
        <v>13</v>
      </c>
      <c r="H35" s="349">
        <v>5.2</v>
      </c>
      <c r="I35" s="349">
        <v>13.1</v>
      </c>
      <c r="J35" s="330">
        <v>0.20300000000000001</v>
      </c>
      <c r="K35" s="337" t="s">
        <v>793</v>
      </c>
    </row>
    <row r="36" spans="1:13" ht="17" thickTop="1">
      <c r="A36" s="32" t="s">
        <v>144</v>
      </c>
      <c r="B36" s="44">
        <f>B35/B34</f>
        <v>0.87023570874230838</v>
      </c>
      <c r="D36" s="334" t="s">
        <v>813</v>
      </c>
      <c r="E36" s="340">
        <f>E23+E24+E29</f>
        <v>78</v>
      </c>
      <c r="F36" s="342"/>
      <c r="G36" s="35" t="s">
        <v>814</v>
      </c>
      <c r="H36" s="35">
        <f>SUM(H23,H24,H29)</f>
        <v>116.66</v>
      </c>
      <c r="I36" s="35">
        <f>SUM(I23,I24,I29)</f>
        <v>159.85000000000002</v>
      </c>
      <c r="J36" s="89" t="s">
        <v>816</v>
      </c>
      <c r="K36" s="330">
        <f>((I36/H36)^(1/5))-1</f>
        <v>6.5020907938766026E-2</v>
      </c>
    </row>
    <row r="37" spans="1:13" s="332" customFormat="1">
      <c r="A37" s="335"/>
      <c r="B37" s="346" t="s">
        <v>801</v>
      </c>
      <c r="C37" s="332">
        <v>24.273</v>
      </c>
      <c r="D37" s="394" t="s">
        <v>821</v>
      </c>
      <c r="F37" s="343">
        <f>SUM(F23*(E23/E36),F24*(E24/E36),F29*(E29/E36))/SUM(E23/E36,E24/E36,E29/E36)</f>
        <v>9.8205128205128223E-2</v>
      </c>
      <c r="I37" s="35"/>
      <c r="J37" s="35"/>
      <c r="L37" s="35"/>
      <c r="M37" s="35"/>
    </row>
    <row r="38" spans="1:13" s="332" customFormat="1">
      <c r="A38" s="335"/>
      <c r="B38" s="336"/>
      <c r="C38" s="35"/>
      <c r="D38" s="35"/>
      <c r="F38" s="35"/>
      <c r="G38" s="334" t="s">
        <v>815</v>
      </c>
      <c r="H38" s="330">
        <f>C37/H36</f>
        <v>0.208066175210012</v>
      </c>
      <c r="I38" s="35"/>
      <c r="J38" s="35"/>
      <c r="K38" s="35"/>
      <c r="L38" s="35"/>
      <c r="M38" s="35"/>
    </row>
    <row r="39" spans="1:13" s="332" customFormat="1">
      <c r="A39" s="335"/>
      <c r="B39" s="336"/>
      <c r="C39" s="35"/>
      <c r="D39" s="35"/>
      <c r="E39" s="35"/>
      <c r="F39" s="330"/>
      <c r="G39" s="334" t="s">
        <v>817</v>
      </c>
      <c r="H39" s="330">
        <f>(G4/1000)/I36</f>
        <v>0.26906100566562829</v>
      </c>
      <c r="I39" s="35"/>
      <c r="J39" s="35"/>
      <c r="K39" s="35"/>
      <c r="L39" s="35"/>
      <c r="M39" s="35"/>
    </row>
    <row r="41" spans="1:13">
      <c r="A41" s="33" t="s">
        <v>145</v>
      </c>
      <c r="B41" s="40"/>
      <c r="C41" s="46"/>
      <c r="D41" s="46"/>
      <c r="E41" s="46"/>
      <c r="F41" s="46"/>
      <c r="G41" s="46"/>
      <c r="H41" s="46"/>
      <c r="I41" s="46"/>
      <c r="J41" s="46"/>
      <c r="K41" s="46"/>
      <c r="L41" s="46"/>
      <c r="M41" s="46" t="s">
        <v>146</v>
      </c>
    </row>
    <row r="42" spans="1:13">
      <c r="A42" s="32" t="s">
        <v>147</v>
      </c>
      <c r="B42" s="40"/>
      <c r="C42" s="49">
        <f>'Input sheet'!B28</f>
        <v>2</v>
      </c>
      <c r="D42" s="49">
        <f t="shared" ref="D42:L42" si="8">C42</f>
        <v>2</v>
      </c>
      <c r="E42" s="49">
        <f t="shared" si="8"/>
        <v>2</v>
      </c>
      <c r="F42" s="49">
        <f t="shared" si="8"/>
        <v>2</v>
      </c>
      <c r="G42" s="49">
        <f t="shared" si="8"/>
        <v>2</v>
      </c>
      <c r="H42" s="49">
        <f t="shared" si="8"/>
        <v>2</v>
      </c>
      <c r="I42" s="49">
        <f t="shared" si="8"/>
        <v>2</v>
      </c>
      <c r="J42" s="49">
        <f t="shared" si="8"/>
        <v>2</v>
      </c>
      <c r="K42" s="49">
        <f t="shared" si="8"/>
        <v>2</v>
      </c>
      <c r="L42" s="49">
        <f t="shared" si="8"/>
        <v>2</v>
      </c>
      <c r="M42" s="46"/>
    </row>
    <row r="43" spans="1:13">
      <c r="A43" s="32" t="s">
        <v>148</v>
      </c>
      <c r="B43" s="50">
        <f>IF('Input sheet'!B14="Yes",IF('Input sheet'!B13="Yes",'Input sheet'!B11+'Input sheet'!B12-'Input sheet'!B15+'Operating lease converter'!F33+'R&amp;D converter'!D35,'Input sheet'!B11+'Input sheet'!B12-'Input sheet'!B15+'Operating lease converter'!F33),IF('Input sheet'!B13="Yes",'Input sheet'!B11+'Input sheet'!B12-'Input sheet'!B15+'R&amp;D converter'!D35,'Input sheet'!B11+'Input sheet'!B12-'Input sheet'!B15))</f>
        <v>22037.666666666664</v>
      </c>
      <c r="C43" s="51">
        <f t="shared" ref="C43:L43" si="9">B43+C9</f>
        <v>26678.000002873832</v>
      </c>
      <c r="D43" s="51">
        <f t="shared" si="9"/>
        <v>27826.408336408334</v>
      </c>
      <c r="E43" s="51">
        <f t="shared" si="9"/>
        <v>29055.205253290253</v>
      </c>
      <c r="F43" s="51">
        <f t="shared" si="9"/>
        <v>30370.017954353905</v>
      </c>
      <c r="G43" s="51">
        <f t="shared" si="9"/>
        <v>31776.867544492012</v>
      </c>
      <c r="H43" s="51">
        <f t="shared" si="9"/>
        <v>33196.177802428487</v>
      </c>
      <c r="I43" s="51">
        <f t="shared" si="9"/>
        <v>34617.46649284572</v>
      </c>
      <c r="J43" s="51">
        <f t="shared" si="9"/>
        <v>36029.493882764102</v>
      </c>
      <c r="K43" s="51">
        <f t="shared" si="9"/>
        <v>37420.389552433364</v>
      </c>
      <c r="L43" s="51">
        <f t="shared" si="9"/>
        <v>38777.800696721701</v>
      </c>
      <c r="M43" s="46"/>
    </row>
    <row r="44" spans="1:13">
      <c r="A44" s="32" t="s">
        <v>149</v>
      </c>
      <c r="B44" s="43">
        <f t="shared" ref="B44:L44" si="10">B8/B43</f>
        <v>0.27786804381537478</v>
      </c>
      <c r="C44" s="41">
        <f t="shared" si="10"/>
        <v>0.32718438335370886</v>
      </c>
      <c r="D44" s="41">
        <f t="shared" si="10"/>
        <v>0.34294187937594078</v>
      </c>
      <c r="E44" s="41">
        <f t="shared" si="10"/>
        <v>0.3589125053406228</v>
      </c>
      <c r="F44" s="41">
        <f t="shared" si="10"/>
        <v>0.37507101085639227</v>
      </c>
      <c r="G44" s="41">
        <f t="shared" si="10"/>
        <v>0.39139228371151558</v>
      </c>
      <c r="H44" s="41">
        <f t="shared" si="10"/>
        <v>0.3931355795582932</v>
      </c>
      <c r="I44" s="41">
        <f t="shared" si="10"/>
        <v>0.39343390249602228</v>
      </c>
      <c r="J44" s="41">
        <f t="shared" si="10"/>
        <v>0.39231196353370495</v>
      </c>
      <c r="K44" s="41">
        <f t="shared" si="10"/>
        <v>0.38979919189959944</v>
      </c>
      <c r="L44" s="52">
        <f t="shared" si="10"/>
        <v>0.38592848477464281</v>
      </c>
      <c r="M44" s="41">
        <f>IF('Input sheet'!B44="Yes",'Input sheet'!B45,'Valuation output'!L13)</f>
        <v>0.12</v>
      </c>
    </row>
  </sheetData>
  <hyperlinks>
    <hyperlink ref="K26" r:id="rId1" xr:uid="{FF1297B4-CE56-7845-8B67-6BAF1BDF743C}"/>
    <hyperlink ref="K31" r:id="rId2" xr:uid="{914E3187-8427-BC46-99BF-19BB981FE996}"/>
    <hyperlink ref="K34" r:id="rId3" xr:uid="{F0C4FF9C-FF1A-4040-A5AD-D540B552FE46}"/>
    <hyperlink ref="K27" r:id="rId4" xr:uid="{D460E994-8338-5C4A-B538-0CDE3D6D5456}"/>
    <hyperlink ref="K24" r:id="rId5" xr:uid="{79F20B85-E785-A646-98BC-68A7A0C06561}"/>
    <hyperlink ref="K28" r:id="rId6" xr:uid="{20BBF713-7159-9848-AD37-56FD2A62DF90}"/>
    <hyperlink ref="K23" r:id="rId7" xr:uid="{1ABC03EA-BF2F-B14C-B8F3-A7C23E98FF4C}"/>
    <hyperlink ref="K35" r:id="rId8" xr:uid="{B7A2EEFC-FD05-DC44-AF32-2C183D1E9E40}"/>
  </hyperlinks>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8D325-3518-4D4F-9DC0-3A2AD97C25F7}">
  <dimension ref="A1:I26"/>
  <sheetViews>
    <sheetView workbookViewId="0">
      <selection activeCell="D22" sqref="D22"/>
    </sheetView>
  </sheetViews>
  <sheetFormatPr baseColWidth="10" defaultRowHeight="13"/>
  <cols>
    <col min="1" max="2" width="19.6640625" customWidth="1"/>
  </cols>
  <sheetData>
    <row r="1" spans="1:9" ht="16">
      <c r="A1" s="345" t="s">
        <v>801</v>
      </c>
      <c r="B1" s="298">
        <v>24273</v>
      </c>
    </row>
    <row r="2" spans="1:9">
      <c r="I2" t="s">
        <v>802</v>
      </c>
    </row>
    <row r="16" spans="1:9">
      <c r="I16" t="s">
        <v>803</v>
      </c>
    </row>
    <row r="26" spans="9:9">
      <c r="I26" t="s">
        <v>804</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39"/>
  <sheetViews>
    <sheetView zoomScale="88" zoomScaleNormal="88" workbookViewId="0">
      <selection activeCell="B13" sqref="B13"/>
    </sheetView>
  </sheetViews>
  <sheetFormatPr baseColWidth="10" defaultRowHeight="16"/>
  <cols>
    <col min="1" max="1" width="20.33203125" style="169" customWidth="1"/>
    <col min="2" max="2" width="12.83203125" style="169" bestFit="1" customWidth="1"/>
    <col min="3" max="3" width="17.6640625" style="169" customWidth="1"/>
    <col min="4" max="4" width="16.5" style="169" customWidth="1"/>
    <col min="5" max="5" width="13.83203125" style="169" customWidth="1"/>
    <col min="6" max="6" width="24.6640625" style="170" customWidth="1"/>
    <col min="7" max="7" width="35.5" style="169" customWidth="1"/>
    <col min="8" max="8" width="17" customWidth="1"/>
  </cols>
  <sheetData>
    <row r="1" spans="1:11">
      <c r="A1" s="387" t="str">
        <f>'Input sheet'!B2</f>
        <v>Qualcomm</v>
      </c>
      <c r="B1" s="370"/>
      <c r="C1" s="370"/>
      <c r="D1" s="370"/>
      <c r="E1" s="370"/>
      <c r="F1" s="371"/>
      <c r="G1" s="370"/>
    </row>
    <row r="2" spans="1:11">
      <c r="A2" s="366" t="s">
        <v>150</v>
      </c>
      <c r="B2" s="361"/>
      <c r="C2" s="361"/>
      <c r="D2" s="361"/>
      <c r="E2" s="361"/>
      <c r="F2" s="361"/>
      <c r="G2" s="362"/>
    </row>
    <row r="3" spans="1:11" ht="16" customHeight="1">
      <c r="A3" s="366"/>
      <c r="B3" s="367"/>
      <c r="C3" s="367"/>
      <c r="D3" s="367"/>
      <c r="E3" s="367"/>
      <c r="F3" s="367"/>
      <c r="G3" s="368"/>
      <c r="H3" s="376" t="s">
        <v>151</v>
      </c>
      <c r="I3" s="367"/>
      <c r="J3" s="367"/>
      <c r="K3" s="368"/>
    </row>
    <row r="4" spans="1:11" ht="16" customHeight="1">
      <c r="A4" s="369"/>
      <c r="B4" s="370"/>
      <c r="C4" s="370"/>
      <c r="D4" s="370"/>
      <c r="E4" s="370"/>
      <c r="F4" s="371"/>
      <c r="G4" s="372"/>
      <c r="H4" s="369"/>
      <c r="I4" s="377"/>
      <c r="J4" s="377"/>
      <c r="K4" s="372"/>
    </row>
    <row r="5" spans="1:11" ht="12" customHeight="1">
      <c r="A5" s="369"/>
      <c r="B5" s="370"/>
      <c r="C5" s="370"/>
      <c r="D5" s="370"/>
      <c r="E5" s="370"/>
      <c r="F5" s="371"/>
      <c r="G5" s="372"/>
      <c r="H5" s="369"/>
      <c r="I5" s="377"/>
      <c r="J5" s="377"/>
      <c r="K5" s="372"/>
    </row>
    <row r="6" spans="1:11" ht="12" customHeight="1">
      <c r="A6" s="373"/>
      <c r="B6" s="374"/>
      <c r="C6" s="374"/>
      <c r="D6" s="374"/>
      <c r="E6" s="374"/>
      <c r="F6" s="374"/>
      <c r="G6" s="375"/>
      <c r="H6" s="373"/>
      <c r="I6" s="374"/>
      <c r="J6" s="374"/>
      <c r="K6" s="375"/>
    </row>
    <row r="7" spans="1:11">
      <c r="A7" s="366" t="s">
        <v>152</v>
      </c>
      <c r="B7" s="361"/>
      <c r="C7" s="361"/>
      <c r="D7" s="361"/>
      <c r="E7" s="361"/>
      <c r="F7" s="361"/>
      <c r="G7" s="362"/>
    </row>
    <row r="8" spans="1:11">
      <c r="A8" s="145"/>
      <c r="B8" s="141" t="s">
        <v>112</v>
      </c>
      <c r="C8" s="142" t="s">
        <v>153</v>
      </c>
      <c r="D8" s="141" t="s">
        <v>154</v>
      </c>
      <c r="E8" s="141"/>
      <c r="F8" s="141" t="s">
        <v>146</v>
      </c>
      <c r="G8" s="143" t="s">
        <v>155</v>
      </c>
    </row>
    <row r="9" spans="1:11">
      <c r="A9" s="146" t="s">
        <v>156</v>
      </c>
      <c r="B9" s="147">
        <f>'Valuation output'!B4</f>
        <v>23531</v>
      </c>
      <c r="C9" s="148">
        <f>'Input sheet'!B23</f>
        <v>7.0000000000000007E-2</v>
      </c>
      <c r="D9" s="148">
        <f>F9</f>
        <v>1.4999999999999999E-2</v>
      </c>
      <c r="E9" s="149"/>
      <c r="F9" s="148">
        <f>'Valuation output'!M3</f>
        <v>1.4999999999999999E-2</v>
      </c>
      <c r="G9" s="268"/>
      <c r="H9" s="378" t="s">
        <v>157</v>
      </c>
      <c r="I9" s="367"/>
      <c r="J9" s="367"/>
      <c r="K9" s="368"/>
    </row>
    <row r="10" spans="1:11">
      <c r="A10" s="146" t="s">
        <v>158</v>
      </c>
      <c r="B10" s="148">
        <f>'Valuation output'!B5</f>
        <v>0.28631734024620009</v>
      </c>
      <c r="C10" s="150">
        <f>B10</f>
        <v>0.28631734024620009</v>
      </c>
      <c r="D10" s="151">
        <f>F10</f>
        <v>0.35</v>
      </c>
      <c r="E10" s="151"/>
      <c r="F10" s="148">
        <f>'Valuation output'!M5</f>
        <v>0.35</v>
      </c>
      <c r="G10" s="172"/>
      <c r="H10" s="369"/>
      <c r="I10" s="377"/>
      <c r="J10" s="377"/>
      <c r="K10" s="372"/>
    </row>
    <row r="11" spans="1:11">
      <c r="A11" s="146" t="s">
        <v>117</v>
      </c>
      <c r="B11" s="148">
        <f>'Valuation output'!B7</f>
        <v>9.1099842629830396E-2</v>
      </c>
      <c r="C11" s="150">
        <f>B11</f>
        <v>9.1099842629830396E-2</v>
      </c>
      <c r="D11" s="151">
        <f>F11</f>
        <v>0.25</v>
      </c>
      <c r="E11" s="151"/>
      <c r="F11" s="148">
        <f>'Valuation output'!M7</f>
        <v>0.25</v>
      </c>
      <c r="G11" s="172"/>
      <c r="H11" s="369"/>
      <c r="I11" s="377"/>
      <c r="J11" s="377"/>
      <c r="K11" s="372"/>
    </row>
    <row r="12" spans="1:11">
      <c r="A12" s="146" t="s">
        <v>159</v>
      </c>
      <c r="B12" s="149"/>
      <c r="C12" s="152" t="s">
        <v>160</v>
      </c>
      <c r="D12" s="153">
        <f>'Input sheet'!B28</f>
        <v>2</v>
      </c>
      <c r="E12" s="154" t="s">
        <v>161</v>
      </c>
      <c r="F12" s="155">
        <f>'Valuation output'!M3/'Valuation output'!M44</f>
        <v>0.125</v>
      </c>
      <c r="G12" s="172"/>
      <c r="H12" s="369"/>
      <c r="I12" s="377"/>
      <c r="J12" s="377"/>
      <c r="K12" s="372"/>
    </row>
    <row r="13" spans="1:11">
      <c r="A13" s="174" t="s">
        <v>162</v>
      </c>
      <c r="B13" s="178">
        <f>'Valuation output'!B44</f>
        <v>0.27786804381537478</v>
      </c>
      <c r="C13" s="181" t="s">
        <v>163</v>
      </c>
      <c r="D13" s="182">
        <f>Diagnostics!B6</f>
        <v>0.78951640793175537</v>
      </c>
      <c r="E13" s="175"/>
      <c r="F13" s="176">
        <f>'Valuation output'!M44</f>
        <v>0.12</v>
      </c>
      <c r="G13" s="177"/>
      <c r="H13" s="369"/>
      <c r="I13" s="377"/>
      <c r="J13" s="377"/>
      <c r="K13" s="372"/>
    </row>
    <row r="14" spans="1:11" ht="17" customHeight="1" thickBot="1">
      <c r="A14" s="156" t="s">
        <v>164</v>
      </c>
      <c r="B14" s="179"/>
      <c r="C14" s="150">
        <f>'Valuation output'!C13</f>
        <v>8.2370575222963371E-2</v>
      </c>
      <c r="D14" s="151">
        <f>F14</f>
        <v>6.5000000000000002E-2</v>
      </c>
      <c r="E14" s="180"/>
      <c r="F14" s="157">
        <f>'Valuation output'!M13</f>
        <v>6.5000000000000002E-2</v>
      </c>
      <c r="G14" s="173"/>
      <c r="H14" s="373"/>
      <c r="I14" s="374"/>
      <c r="J14" s="374"/>
      <c r="K14" s="375"/>
    </row>
    <row r="15" spans="1:11" ht="17" customHeight="1" thickBot="1">
      <c r="A15" s="388" t="s">
        <v>165</v>
      </c>
      <c r="B15" s="370"/>
      <c r="C15" s="370"/>
      <c r="D15" s="370"/>
      <c r="E15" s="370"/>
      <c r="F15" s="371"/>
      <c r="G15" s="372"/>
    </row>
    <row r="16" spans="1:11">
      <c r="A16" s="140"/>
      <c r="B16" s="144" t="s">
        <v>15</v>
      </c>
      <c r="C16" s="144" t="s">
        <v>166</v>
      </c>
      <c r="D16" s="144" t="s">
        <v>167</v>
      </c>
      <c r="E16" s="144" t="s">
        <v>168</v>
      </c>
      <c r="F16" s="144" t="s">
        <v>169</v>
      </c>
      <c r="G16" s="183" t="s">
        <v>120</v>
      </c>
      <c r="H16" s="379" t="s">
        <v>170</v>
      </c>
      <c r="I16" s="367"/>
      <c r="J16" s="367"/>
      <c r="K16" s="368"/>
    </row>
    <row r="17" spans="1:11">
      <c r="A17" s="158">
        <v>1</v>
      </c>
      <c r="B17" s="286">
        <f>'Valuation output'!C4</f>
        <v>32811.666672414336</v>
      </c>
      <c r="C17" s="159">
        <f>'Valuation output'!C5</f>
        <v>0.29268560622158007</v>
      </c>
      <c r="D17" s="147">
        <f t="shared" ref="D17:D27" si="0">B17*C17</f>
        <v>9603.5025511560052</v>
      </c>
      <c r="E17" s="286">
        <f>'Valuation output'!C8</f>
        <v>8728.6249800505175</v>
      </c>
      <c r="F17" s="286">
        <f>'Valuation output'!C9</f>
        <v>4640.333336207168</v>
      </c>
      <c r="G17" s="287">
        <f t="shared" ref="G17:G27" si="1">E17-F17</f>
        <v>4088.2916438433494</v>
      </c>
      <c r="H17" s="369"/>
      <c r="I17" s="377"/>
      <c r="J17" s="377"/>
      <c r="K17" s="372"/>
    </row>
    <row r="18" spans="1:11">
      <c r="A18" s="158">
        <v>2</v>
      </c>
      <c r="B18" s="286">
        <f>'Valuation output'!D4</f>
        <v>35108.48333948334</v>
      </c>
      <c r="C18" s="159">
        <f>'Valuation output'!D5</f>
        <v>0.29905387219696006</v>
      </c>
      <c r="D18" s="147">
        <f t="shared" si="0"/>
        <v>10499.327889634953</v>
      </c>
      <c r="E18" s="286">
        <f>'Valuation output'!D8</f>
        <v>9542.8407711702203</v>
      </c>
      <c r="F18" s="286">
        <f>'Valuation output'!D9</f>
        <v>1148.4083335345022</v>
      </c>
      <c r="G18" s="287">
        <f t="shared" si="1"/>
        <v>8394.4324376357181</v>
      </c>
      <c r="H18" s="369"/>
      <c r="I18" s="377"/>
      <c r="J18" s="377"/>
      <c r="K18" s="372"/>
    </row>
    <row r="19" spans="1:11">
      <c r="A19" s="158">
        <v>3</v>
      </c>
      <c r="B19" s="286">
        <f>'Valuation output'!E4</f>
        <v>37566.077173247177</v>
      </c>
      <c r="C19" s="159">
        <f>'Valuation output'!E5</f>
        <v>0.30542213817234004</v>
      </c>
      <c r="D19" s="147">
        <f t="shared" si="0"/>
        <v>11473.511613000288</v>
      </c>
      <c r="E19" s="286">
        <f>'Valuation output'!E8</f>
        <v>10428.276510644429</v>
      </c>
      <c r="F19" s="286">
        <f>'Valuation output'!E9</f>
        <v>1228.7969168819182</v>
      </c>
      <c r="G19" s="287">
        <f t="shared" si="1"/>
        <v>9199.4795937625113</v>
      </c>
      <c r="H19" s="369"/>
      <c r="I19" s="377"/>
      <c r="J19" s="377"/>
      <c r="K19" s="372"/>
    </row>
    <row r="20" spans="1:11">
      <c r="A20" s="158">
        <v>4</v>
      </c>
      <c r="B20" s="286">
        <f>'Valuation output'!F4</f>
        <v>40195.702575374482</v>
      </c>
      <c r="C20" s="159">
        <f>'Valuation output'!F5</f>
        <v>0.31179040414772008</v>
      </c>
      <c r="D20" s="147">
        <f t="shared" si="0"/>
        <v>12532.634350977563</v>
      </c>
      <c r="E20" s="286">
        <f>'Valuation output'!F8</f>
        <v>11390.913333866301</v>
      </c>
      <c r="F20" s="286">
        <f>'Valuation output'!F9</f>
        <v>1314.8127010636526</v>
      </c>
      <c r="G20" s="287">
        <f t="shared" si="1"/>
        <v>10076.100632802649</v>
      </c>
      <c r="H20" s="369"/>
      <c r="I20" s="377"/>
      <c r="J20" s="377"/>
      <c r="K20" s="372"/>
    </row>
    <row r="21" spans="1:11">
      <c r="A21" s="158">
        <v>5</v>
      </c>
      <c r="B21" s="286">
        <f>'Valuation output'!G4</f>
        <v>43009.401755650695</v>
      </c>
      <c r="C21" s="159">
        <f>'Valuation output'!G5</f>
        <v>0.31815867012310006</v>
      </c>
      <c r="D21" s="147">
        <f t="shared" si="0"/>
        <v>13683.814065367949</v>
      </c>
      <c r="E21" s="286">
        <f>'Valuation output'!G8</f>
        <v>12437.22075743707</v>
      </c>
      <c r="F21" s="286">
        <f>'Valuation output'!G9</f>
        <v>1406.8495901381066</v>
      </c>
      <c r="G21" s="287">
        <f t="shared" si="1"/>
        <v>11030.371167298963</v>
      </c>
      <c r="H21" s="369"/>
      <c r="I21" s="377"/>
      <c r="J21" s="377"/>
      <c r="K21" s="372"/>
    </row>
    <row r="22" spans="1:11">
      <c r="A22" s="158">
        <v>6</v>
      </c>
      <c r="B22" s="286">
        <f>'Valuation output'!H4</f>
        <v>45848.022271523645</v>
      </c>
      <c r="C22" s="159">
        <f>'Valuation output'!H5</f>
        <v>0.32452693609848005</v>
      </c>
      <c r="D22" s="147">
        <f t="shared" si="0"/>
        <v>14878.918193952444</v>
      </c>
      <c r="E22" s="286">
        <f>'Valuation output'!H8</f>
        <v>13050.598599477871</v>
      </c>
      <c r="F22" s="286">
        <f>'Valuation output'!H9</f>
        <v>1419.310257936475</v>
      </c>
      <c r="G22" s="287">
        <f t="shared" si="1"/>
        <v>11631.288341541396</v>
      </c>
      <c r="H22" s="369"/>
      <c r="I22" s="377"/>
      <c r="J22" s="377"/>
      <c r="K22" s="372"/>
    </row>
    <row r="23" spans="1:11">
      <c r="A23" s="158">
        <v>7</v>
      </c>
      <c r="B23" s="286">
        <f>'Valuation output'!I4</f>
        <v>48690.599652358113</v>
      </c>
      <c r="C23" s="159">
        <f>'Valuation output'!I5</f>
        <v>0.33089520207386003</v>
      </c>
      <c r="D23" s="147">
        <f t="shared" si="0"/>
        <v>16111.485811064456</v>
      </c>
      <c r="E23" s="286">
        <f>'Valuation output'!I8</f>
        <v>13619.684936805581</v>
      </c>
      <c r="F23" s="286">
        <f>'Valuation output'!I9</f>
        <v>1421.2886904172337</v>
      </c>
      <c r="G23" s="287">
        <f t="shared" si="1"/>
        <v>12198.396246388347</v>
      </c>
      <c r="H23" s="369"/>
      <c r="I23" s="377"/>
      <c r="J23" s="377"/>
      <c r="K23" s="372"/>
    </row>
    <row r="24" spans="1:11">
      <c r="A24" s="158">
        <v>8</v>
      </c>
      <c r="B24" s="286">
        <f>'Valuation output'!J4</f>
        <v>51514.654432194882</v>
      </c>
      <c r="C24" s="159">
        <f>'Valuation output'!J5</f>
        <v>0.33726346804924001</v>
      </c>
      <c r="D24" s="147">
        <f t="shared" si="0"/>
        <v>17374.0110091602</v>
      </c>
      <c r="E24" s="286">
        <f>'Valuation output'!J8</f>
        <v>14134.801490272795</v>
      </c>
      <c r="F24" s="286">
        <f>'Valuation output'!J9</f>
        <v>1412.0273899183849</v>
      </c>
      <c r="G24" s="287">
        <f t="shared" si="1"/>
        <v>12722.774100354411</v>
      </c>
      <c r="H24" s="369"/>
      <c r="I24" s="377"/>
      <c r="J24" s="377"/>
      <c r="K24" s="372"/>
    </row>
    <row r="25" spans="1:11">
      <c r="A25" s="158">
        <v>9</v>
      </c>
      <c r="B25" s="286">
        <f>'Valuation output'!K4</f>
        <v>54296.445771533407</v>
      </c>
      <c r="C25" s="159">
        <f>'Valuation output'!K5</f>
        <v>0.34363173402461999</v>
      </c>
      <c r="D25" s="147">
        <f t="shared" si="0"/>
        <v>18657.98181184577</v>
      </c>
      <c r="E25" s="286">
        <f>'Valuation output'!K8</f>
        <v>14586.437608106738</v>
      </c>
      <c r="F25" s="286">
        <f>'Valuation output'!K9</f>
        <v>1390.8956696692621</v>
      </c>
      <c r="G25" s="287">
        <f t="shared" si="1"/>
        <v>13195.541938437476</v>
      </c>
      <c r="H25" s="369"/>
      <c r="I25" s="377"/>
      <c r="J25" s="377"/>
      <c r="K25" s="372"/>
    </row>
    <row r="26" spans="1:11">
      <c r="A26" s="158">
        <v>10</v>
      </c>
      <c r="B26" s="286">
        <f>'Valuation output'!L4</f>
        <v>57011.26806011008</v>
      </c>
      <c r="C26" s="159">
        <f>'Valuation output'!L5</f>
        <v>0.35</v>
      </c>
      <c r="D26" s="147">
        <f t="shared" si="0"/>
        <v>19953.943821038527</v>
      </c>
      <c r="E26" s="286">
        <f>'Valuation output'!L8</f>
        <v>14965.457865778895</v>
      </c>
      <c r="F26" s="286">
        <f>'Valuation output'!L9</f>
        <v>1357.4111442883368</v>
      </c>
      <c r="G26" s="287">
        <f t="shared" si="1"/>
        <v>13608.046721490558</v>
      </c>
      <c r="H26" s="369"/>
      <c r="I26" s="377"/>
      <c r="J26" s="377"/>
      <c r="K26" s="372"/>
    </row>
    <row r="27" spans="1:11" ht="17" customHeight="1" thickBot="1">
      <c r="A27" s="160" t="s">
        <v>113</v>
      </c>
      <c r="B27" s="288">
        <f>'Valuation output'!M4</f>
        <v>57866.437081011725</v>
      </c>
      <c r="C27" s="161">
        <f>'Valuation output'!M5</f>
        <v>0.35</v>
      </c>
      <c r="D27" s="147">
        <f t="shared" si="0"/>
        <v>20253.252978354103</v>
      </c>
      <c r="E27" s="288">
        <f>'Valuation output'!M8</f>
        <v>15189.939733765577</v>
      </c>
      <c r="F27" s="288">
        <f>'Valuation output'!M9</f>
        <v>1898.7424667206972</v>
      </c>
      <c r="G27" s="287">
        <f t="shared" si="1"/>
        <v>13291.197267044879</v>
      </c>
      <c r="H27" s="373"/>
      <c r="I27" s="374"/>
      <c r="J27" s="374"/>
      <c r="K27" s="375"/>
    </row>
    <row r="28" spans="1:11" ht="17" customHeight="1" thickBot="1">
      <c r="A28" s="388" t="s">
        <v>171</v>
      </c>
      <c r="B28" s="370"/>
      <c r="C28" s="370"/>
      <c r="D28" s="370"/>
      <c r="E28" s="370"/>
      <c r="F28" s="371"/>
      <c r="G28" s="372"/>
    </row>
    <row r="29" spans="1:11">
      <c r="A29" s="363" t="s">
        <v>127</v>
      </c>
      <c r="B29" s="364"/>
      <c r="C29" s="365"/>
      <c r="D29" s="162">
        <f>'Valuation output'!B19</f>
        <v>265823.9453408976</v>
      </c>
      <c r="E29" s="163"/>
      <c r="F29" s="164"/>
      <c r="G29" s="165"/>
      <c r="H29" s="380" t="s">
        <v>172</v>
      </c>
      <c r="I29" s="377"/>
      <c r="J29" s="377"/>
      <c r="K29" s="377"/>
    </row>
    <row r="30" spans="1:11">
      <c r="A30" s="360" t="s">
        <v>128</v>
      </c>
      <c r="B30" s="361"/>
      <c r="C30" s="362"/>
      <c r="D30" s="166">
        <f>'Valuation output'!B20</f>
        <v>126435.18966974277</v>
      </c>
      <c r="E30" s="167"/>
      <c r="F30" s="169"/>
      <c r="G30" s="168"/>
      <c r="H30" s="381"/>
      <c r="I30" s="377"/>
      <c r="J30" s="377"/>
      <c r="K30" s="377"/>
    </row>
    <row r="31" spans="1:11">
      <c r="A31" s="360" t="s">
        <v>129</v>
      </c>
      <c r="B31" s="361"/>
      <c r="C31" s="362"/>
      <c r="D31" s="166">
        <f>'Valuation output'!B21</f>
        <v>67341.457764728213</v>
      </c>
      <c r="E31" s="167"/>
      <c r="F31" s="169"/>
      <c r="G31" s="168"/>
      <c r="H31" s="381"/>
      <c r="I31" s="377"/>
      <c r="J31" s="377"/>
      <c r="K31" s="377"/>
    </row>
    <row r="32" spans="1:11">
      <c r="A32" s="360" t="s">
        <v>133</v>
      </c>
      <c r="B32" s="361"/>
      <c r="C32" s="362"/>
      <c r="D32" s="166">
        <f>'Valuation output'!B22</f>
        <v>193776.647434471</v>
      </c>
      <c r="E32" s="167"/>
      <c r="F32" s="169"/>
      <c r="G32" s="168"/>
      <c r="H32" s="381"/>
      <c r="I32" s="377"/>
      <c r="J32" s="377"/>
      <c r="K32" s="377"/>
    </row>
    <row r="33" spans="1:11">
      <c r="A33" s="360" t="s">
        <v>173</v>
      </c>
      <c r="B33" s="361"/>
      <c r="C33" s="362"/>
      <c r="D33" s="184">
        <f>D32-'Valuation output'!B25</f>
        <v>0</v>
      </c>
      <c r="E33" s="382" t="s">
        <v>131</v>
      </c>
      <c r="F33" s="361"/>
      <c r="G33" s="185">
        <f>'Valuation output'!B23</f>
        <v>0</v>
      </c>
      <c r="H33" s="381"/>
      <c r="I33" s="377"/>
      <c r="J33" s="377"/>
      <c r="K33" s="377"/>
    </row>
    <row r="34" spans="1:11">
      <c r="A34" s="360" t="s">
        <v>174</v>
      </c>
      <c r="B34" s="361"/>
      <c r="C34" s="362"/>
      <c r="D34" s="166">
        <f>'Valuation output'!B26+'Valuation output'!B27</f>
        <v>15726</v>
      </c>
      <c r="E34" s="167"/>
      <c r="F34" s="169"/>
      <c r="G34" s="168"/>
      <c r="H34" s="381"/>
      <c r="I34" s="377"/>
      <c r="J34" s="377"/>
      <c r="K34" s="377"/>
    </row>
    <row r="35" spans="1:11">
      <c r="A35" s="360" t="s">
        <v>175</v>
      </c>
      <c r="B35" s="361"/>
      <c r="C35" s="362"/>
      <c r="D35" s="166">
        <f>'Valuation output'!B28+'Valuation output'!B29</f>
        <v>11214</v>
      </c>
      <c r="E35" s="167"/>
      <c r="F35" s="169"/>
      <c r="G35" s="168"/>
      <c r="H35" s="381"/>
      <c r="I35" s="377"/>
      <c r="J35" s="377"/>
      <c r="K35" s="377"/>
    </row>
    <row r="36" spans="1:11">
      <c r="A36" s="360" t="s">
        <v>138</v>
      </c>
      <c r="B36" s="361"/>
      <c r="C36" s="362"/>
      <c r="D36" s="166">
        <f>D32-D33-D34+D35</f>
        <v>189264.647434471</v>
      </c>
      <c r="E36" s="167"/>
      <c r="F36" s="169"/>
      <c r="G36" s="168"/>
      <c r="H36" s="381"/>
      <c r="I36" s="377"/>
      <c r="J36" s="377"/>
      <c r="K36" s="377"/>
    </row>
    <row r="37" spans="1:11">
      <c r="A37" s="360" t="s">
        <v>176</v>
      </c>
      <c r="B37" s="361"/>
      <c r="C37" s="362"/>
      <c r="D37" s="166">
        <f>'Valuation output'!B31</f>
        <v>0</v>
      </c>
      <c r="E37" s="167"/>
      <c r="F37" s="169"/>
      <c r="G37" s="168"/>
      <c r="H37" s="381"/>
      <c r="I37" s="377"/>
      <c r="J37" s="377"/>
      <c r="K37" s="377"/>
    </row>
    <row r="38" spans="1:11" ht="17" customHeight="1" thickBot="1">
      <c r="A38" s="360" t="s">
        <v>141</v>
      </c>
      <c r="B38" s="361"/>
      <c r="C38" s="362"/>
      <c r="D38" s="171">
        <f>'Valuation output'!B33</f>
        <v>1128.27</v>
      </c>
      <c r="G38" s="168"/>
      <c r="H38" s="381"/>
      <c r="I38" s="377"/>
      <c r="J38" s="377"/>
      <c r="K38" s="377"/>
    </row>
    <row r="39" spans="1:11" ht="17" customHeight="1" thickBot="1">
      <c r="A39" s="383" t="s">
        <v>177</v>
      </c>
      <c r="B39" s="384"/>
      <c r="C39" s="385"/>
      <c r="D39" s="289">
        <f>(D36-D37)/D38</f>
        <v>167.74765564489971</v>
      </c>
      <c r="E39" s="386" t="s">
        <v>178</v>
      </c>
      <c r="F39" s="355"/>
      <c r="G39" s="290">
        <f>'Input sheet'!B19</f>
        <v>145.97999999999999</v>
      </c>
      <c r="H39" s="381"/>
      <c r="I39" s="377"/>
      <c r="J39" s="377"/>
      <c r="K39" s="377"/>
    </row>
  </sheetData>
  <mergeCells count="23">
    <mergeCell ref="A36:C36"/>
    <mergeCell ref="A1:G1"/>
    <mergeCell ref="A2:G2"/>
    <mergeCell ref="A7:G7"/>
    <mergeCell ref="A15:G15"/>
    <mergeCell ref="A28:G28"/>
    <mergeCell ref="A30:C30"/>
    <mergeCell ref="A37:C37"/>
    <mergeCell ref="A29:C29"/>
    <mergeCell ref="A3:G6"/>
    <mergeCell ref="H3:K6"/>
    <mergeCell ref="H9:K14"/>
    <mergeCell ref="H16:K27"/>
    <mergeCell ref="H29:K39"/>
    <mergeCell ref="E33:F33"/>
    <mergeCell ref="A38:C38"/>
    <mergeCell ref="A39:C39"/>
    <mergeCell ref="A33:C33"/>
    <mergeCell ref="A32:C32"/>
    <mergeCell ref="E39:F39"/>
    <mergeCell ref="A31:C31"/>
    <mergeCell ref="A34:C34"/>
    <mergeCell ref="A35:C35"/>
  </mergeCells>
  <pageMargins left="0.75" right="0.75" top="1" bottom="1"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workbookViewId="0">
      <selection activeCell="E7" sqref="E7"/>
    </sheetView>
  </sheetViews>
  <sheetFormatPr baseColWidth="10" defaultRowHeight="13"/>
  <cols>
    <col min="1" max="1" width="34" bestFit="1" customWidth="1"/>
    <col min="2" max="2" width="16" style="99" customWidth="1"/>
    <col min="3" max="3" width="19.83203125" style="99" bestFit="1" customWidth="1"/>
    <col min="4" max="4" width="22.1640625" style="99" bestFit="1" customWidth="1"/>
    <col min="5" max="5" width="14.1640625" bestFit="1" customWidth="1"/>
  </cols>
  <sheetData>
    <row r="1" spans="1:5">
      <c r="B1" s="110" t="s">
        <v>13</v>
      </c>
      <c r="C1" s="110" t="s">
        <v>179</v>
      </c>
      <c r="D1" s="110" t="s">
        <v>180</v>
      </c>
      <c r="E1" s="110" t="s">
        <v>181</v>
      </c>
    </row>
    <row r="2" spans="1:5" ht="14" customHeight="1">
      <c r="A2" s="36" t="s">
        <v>15</v>
      </c>
      <c r="B2" s="291">
        <v>513</v>
      </c>
      <c r="C2" s="291">
        <v>513</v>
      </c>
      <c r="D2" s="291">
        <v>674.9</v>
      </c>
      <c r="E2" s="292">
        <f>B2-C2+D2</f>
        <v>674.9</v>
      </c>
    </row>
    <row r="3" spans="1:5" ht="14" customHeight="1">
      <c r="A3" s="36" t="s">
        <v>182</v>
      </c>
      <c r="B3" s="291">
        <v>117.6</v>
      </c>
      <c r="C3" s="291">
        <v>117.6</v>
      </c>
      <c r="D3" s="291">
        <v>158.19999999999999</v>
      </c>
      <c r="E3" s="292">
        <f>B3-C3+D3</f>
        <v>158.19999999999999</v>
      </c>
    </row>
    <row r="4" spans="1:5" ht="14" customHeight="1">
      <c r="A4" s="36" t="s">
        <v>16</v>
      </c>
      <c r="B4" s="291">
        <v>-48.3</v>
      </c>
      <c r="C4" s="291">
        <v>-48.3</v>
      </c>
      <c r="D4" s="291">
        <v>-46.5</v>
      </c>
      <c r="E4" s="292">
        <f>B4-C4+D4</f>
        <v>-46.5</v>
      </c>
    </row>
    <row r="5" spans="1:5" ht="14" customHeight="1">
      <c r="A5" s="36" t="s">
        <v>183</v>
      </c>
      <c r="B5" s="291">
        <v>21.4</v>
      </c>
      <c r="C5" s="291">
        <v>21.4</v>
      </c>
      <c r="D5" s="291">
        <v>22.8</v>
      </c>
      <c r="E5" s="292">
        <f>B5-C5+D5</f>
        <v>22.8</v>
      </c>
    </row>
    <row r="6" spans="1:5" ht="14" customHeight="1">
      <c r="A6" s="36" t="s">
        <v>18</v>
      </c>
      <c r="B6" s="291">
        <v>244.6</v>
      </c>
      <c r="C6" s="291"/>
      <c r="D6" s="291">
        <v>650</v>
      </c>
      <c r="E6" s="292"/>
    </row>
    <row r="7" spans="1:5" ht="14" customHeight="1">
      <c r="A7" s="36" t="s">
        <v>19</v>
      </c>
      <c r="B7" s="291">
        <v>319.10000000000002</v>
      </c>
      <c r="C7" s="291"/>
      <c r="D7" s="291">
        <v>608.4</v>
      </c>
      <c r="E7" s="292"/>
    </row>
    <row r="8" spans="1:5" ht="14" customHeight="1">
      <c r="A8" s="36" t="s">
        <v>23</v>
      </c>
      <c r="B8" s="291"/>
      <c r="C8" s="291"/>
      <c r="D8" s="291"/>
      <c r="E8" s="292"/>
    </row>
    <row r="9" spans="1:5" ht="14" customHeight="1">
      <c r="A9" s="36" t="s">
        <v>184</v>
      </c>
      <c r="B9" s="291">
        <v>592.29999999999995</v>
      </c>
      <c r="C9" s="291"/>
      <c r="D9" s="291">
        <v>961.5</v>
      </c>
      <c r="E9" s="292"/>
    </row>
    <row r="10" spans="1:5" ht="14" customHeight="1">
      <c r="A10" s="36" t="s">
        <v>185</v>
      </c>
      <c r="B10" s="291">
        <v>0</v>
      </c>
      <c r="C10" s="291"/>
      <c r="D10" s="291">
        <v>0</v>
      </c>
      <c r="E10" s="292"/>
    </row>
    <row r="11" spans="1:5" ht="14" customHeight="1">
      <c r="A11" s="36" t="s">
        <v>27</v>
      </c>
      <c r="B11" s="291">
        <v>0</v>
      </c>
      <c r="C11" s="291"/>
      <c r="D11" s="291">
        <v>0</v>
      </c>
      <c r="E11" s="292"/>
    </row>
    <row r="12" spans="1:5" ht="14" customHeight="1">
      <c r="A12" s="36" t="s">
        <v>28</v>
      </c>
      <c r="B12" s="291"/>
      <c r="C12" s="291"/>
      <c r="D12" s="291"/>
      <c r="E12" s="292"/>
    </row>
    <row r="13" spans="1:5" ht="14" customHeight="1">
      <c r="A13" s="36" t="s">
        <v>29</v>
      </c>
      <c r="B13" s="293"/>
      <c r="C13" s="291"/>
      <c r="D13" s="291"/>
      <c r="E13" s="292"/>
    </row>
    <row r="14" spans="1:5" ht="14" customHeight="1">
      <c r="A14" s="36" t="s">
        <v>32</v>
      </c>
      <c r="B14" s="100">
        <v>0</v>
      </c>
      <c r="C14" s="100"/>
      <c r="D14" s="100">
        <v>0</v>
      </c>
      <c r="E14" s="1"/>
    </row>
    <row r="15" spans="1:5" ht="14" customHeight="1">
      <c r="A15" s="36" t="s">
        <v>35</v>
      </c>
      <c r="B15" s="110"/>
      <c r="C15" s="110"/>
      <c r="D15" s="110"/>
      <c r="E15" s="1"/>
    </row>
    <row r="16" spans="1:5" s="2" customFormat="1" ht="14" customHeight="1">
      <c r="A16" s="125" t="s">
        <v>186</v>
      </c>
      <c r="B16" s="294"/>
      <c r="C16" s="294"/>
      <c r="D16" s="294"/>
      <c r="E16" s="295"/>
    </row>
    <row r="17" spans="1:5" ht="14" customHeight="1">
      <c r="A17" s="37" t="s">
        <v>187</v>
      </c>
      <c r="B17" s="296">
        <v>929</v>
      </c>
      <c r="C17" s="297"/>
      <c r="D17" s="297" t="s">
        <v>188</v>
      </c>
      <c r="E17" s="298"/>
    </row>
    <row r="18" spans="1:5" ht="14" customHeight="1">
      <c r="A18" s="37" t="s">
        <v>189</v>
      </c>
      <c r="B18" s="296">
        <v>919</v>
      </c>
      <c r="C18" s="389" t="s">
        <v>190</v>
      </c>
      <c r="D18" s="297" t="s">
        <v>188</v>
      </c>
      <c r="E18" s="298"/>
    </row>
    <row r="19" spans="1:5" ht="14" customHeight="1">
      <c r="A19" s="37" t="s">
        <v>191</v>
      </c>
      <c r="B19" s="296">
        <v>915</v>
      </c>
      <c r="C19" s="369"/>
      <c r="D19" s="297" t="s">
        <v>188</v>
      </c>
      <c r="E19" s="298"/>
    </row>
    <row r="20" spans="1:5" ht="14" customHeight="1">
      <c r="A20" s="37" t="s">
        <v>192</v>
      </c>
      <c r="B20" s="296">
        <v>889</v>
      </c>
      <c r="C20" s="369"/>
      <c r="D20" s="297" t="s">
        <v>188</v>
      </c>
      <c r="E20" s="298"/>
    </row>
    <row r="21" spans="1:5" ht="14" customHeight="1">
      <c r="A21" s="37" t="s">
        <v>193</v>
      </c>
      <c r="B21" s="296">
        <v>836</v>
      </c>
      <c r="C21" s="369"/>
      <c r="D21" s="297" t="s">
        <v>188</v>
      </c>
      <c r="E21" s="298"/>
    </row>
    <row r="22" spans="1:5" ht="14" customHeight="1">
      <c r="A22" s="37" t="s">
        <v>194</v>
      </c>
      <c r="B22" s="296">
        <v>3139</v>
      </c>
      <c r="C22" s="369"/>
      <c r="D22" s="297" t="s">
        <v>188</v>
      </c>
      <c r="E22" s="298"/>
    </row>
    <row r="23" spans="1:5">
      <c r="B23" s="296"/>
      <c r="C23" s="369"/>
    </row>
    <row r="25" spans="1:5" ht="14" customHeight="1">
      <c r="A25" s="37" t="s">
        <v>195</v>
      </c>
      <c r="B25" s="299">
        <v>939</v>
      </c>
    </row>
    <row r="29" spans="1:5">
      <c r="D29" s="291">
        <v>75872</v>
      </c>
    </row>
    <row r="30" spans="1:5">
      <c r="D30" s="291">
        <v>2404</v>
      </c>
    </row>
    <row r="31" spans="1:5">
      <c r="D31" s="291">
        <v>24171</v>
      </c>
    </row>
    <row r="32" spans="1:5">
      <c r="D32" s="291">
        <v>276</v>
      </c>
    </row>
  </sheetData>
  <mergeCells count="1">
    <mergeCell ref="C18:C2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6"/>
  <sheetViews>
    <sheetView zoomScale="125" zoomScaleNormal="125" workbookViewId="0">
      <selection activeCell="B27" sqref="B27"/>
    </sheetView>
  </sheetViews>
  <sheetFormatPr baseColWidth="10" defaultRowHeight="16"/>
  <cols>
    <col min="1" max="1" width="61.6640625" style="5" customWidth="1"/>
    <col min="2" max="2" width="43.83203125" style="5" customWidth="1"/>
    <col min="3" max="3" width="68" style="5" bestFit="1" customWidth="1"/>
    <col min="4" max="4" width="10.83203125" style="5" customWidth="1"/>
    <col min="5" max="16384" width="10.83203125" style="5"/>
  </cols>
  <sheetData>
    <row r="1" spans="1:4" s="81" customFormat="1" ht="13" customHeight="1">
      <c r="A1" s="82" t="s">
        <v>196</v>
      </c>
      <c r="B1" s="83"/>
    </row>
    <row r="2" spans="1:4" s="81" customFormat="1" ht="13" customHeight="1">
      <c r="A2" s="83" t="s">
        <v>197</v>
      </c>
      <c r="B2" s="300">
        <f>'Valuation output'!B43</f>
        <v>22037.666666666664</v>
      </c>
    </row>
    <row r="3" spans="1:4" s="81" customFormat="1" ht="13" customHeight="1">
      <c r="A3" s="83" t="s">
        <v>198</v>
      </c>
      <c r="B3" s="300">
        <f>'Valuation output'!L43</f>
        <v>38777.800696721701</v>
      </c>
    </row>
    <row r="4" spans="1:4" s="81" customFormat="1" ht="13" customHeight="1">
      <c r="A4" s="83" t="s">
        <v>199</v>
      </c>
      <c r="B4" s="300">
        <f>B3-B2</f>
        <v>16740.134030055036</v>
      </c>
    </row>
    <row r="5" spans="1:4" s="81" customFormat="1" ht="13" customHeight="1">
      <c r="A5" s="83" t="s">
        <v>200</v>
      </c>
      <c r="B5" s="300">
        <f>'Valuation output'!L6-'Valuation output'!B6</f>
        <v>13216.610487705193</v>
      </c>
    </row>
    <row r="6" spans="1:4" s="81" customFormat="1" ht="13" customHeight="1">
      <c r="A6" s="83" t="s">
        <v>201</v>
      </c>
      <c r="B6" s="84">
        <f>B5/B4</f>
        <v>0.78951640793175537</v>
      </c>
    </row>
    <row r="7" spans="1:4" s="81" customFormat="1" ht="13" customHeight="1">
      <c r="A7" s="83" t="s">
        <v>202</v>
      </c>
      <c r="B7" s="84">
        <f>'Valuation output'!L44</f>
        <v>0.38592848477464281</v>
      </c>
    </row>
    <row r="8" spans="1:4" s="81" customFormat="1" ht="13" customHeight="1">
      <c r="A8" s="83" t="s">
        <v>203</v>
      </c>
      <c r="B8" s="84">
        <f>(1/'Valuation output'!L14)^(1/10)-1</f>
        <v>7.7141139977831452E-2</v>
      </c>
    </row>
    <row r="9" spans="1:4" s="81" customFormat="1" ht="14" customHeight="1" thickBot="1">
      <c r="A9" s="85" t="s">
        <v>204</v>
      </c>
      <c r="B9" s="86">
        <f>'Valuation output'!B34/'Valuation output'!B35</f>
        <v>1.1491139583840233</v>
      </c>
    </row>
    <row r="10" spans="1:4" s="81" customFormat="1" ht="14" customHeight="1" thickBot="1">
      <c r="A10" s="87"/>
      <c r="B10" s="390" t="str">
        <f>IF(B9="NA","Value is negative. See below",IF(B9&gt;2,"Value seems high. See below",IF(B9&lt;0.5,"Value seems low. See below"," ")))</f>
        <v xml:space="preserve"> </v>
      </c>
      <c r="C10" s="356"/>
    </row>
    <row r="11" spans="1:4" s="56" customFormat="1" ht="15" customHeight="1">
      <c r="A11" s="111" t="s">
        <v>205</v>
      </c>
      <c r="B11" s="112" t="s">
        <v>206</v>
      </c>
      <c r="C11" s="113" t="s">
        <v>207</v>
      </c>
    </row>
    <row r="12" spans="1:4" s="56" customFormat="1" ht="15" customHeight="1">
      <c r="A12" s="122" t="s">
        <v>208</v>
      </c>
      <c r="B12" s="114" t="s">
        <v>209</v>
      </c>
      <c r="C12" s="115" t="s">
        <v>210</v>
      </c>
    </row>
    <row r="13" spans="1:4" s="56" customFormat="1" ht="15" customHeight="1">
      <c r="A13" s="122" t="s">
        <v>211</v>
      </c>
      <c r="B13" s="116" t="s">
        <v>212</v>
      </c>
      <c r="C13" s="117" t="s">
        <v>213</v>
      </c>
      <c r="D13" s="56" t="s">
        <v>214</v>
      </c>
    </row>
    <row r="14" spans="1:4" s="56" customFormat="1" ht="14" customHeight="1">
      <c r="A14" s="123" t="s">
        <v>215</v>
      </c>
      <c r="B14" s="118" t="s">
        <v>216</v>
      </c>
      <c r="C14" s="119" t="s">
        <v>217</v>
      </c>
      <c r="D14" s="56" t="s">
        <v>214</v>
      </c>
    </row>
    <row r="15" spans="1:4" s="56" customFormat="1" ht="15" customHeight="1" thickBot="1">
      <c r="A15" s="124" t="s">
        <v>218</v>
      </c>
      <c r="B15" s="120" t="s">
        <v>219</v>
      </c>
      <c r="C15" s="121" t="s">
        <v>220</v>
      </c>
      <c r="D15" s="56" t="s">
        <v>221</v>
      </c>
    </row>
    <row r="16" spans="1:4">
      <c r="B16" s="38"/>
    </row>
  </sheetData>
  <mergeCells count="1">
    <mergeCell ref="B10:C10"/>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0"/>
  <sheetViews>
    <sheetView topLeftCell="A14" workbookViewId="0">
      <selection activeCell="F50" sqref="F50"/>
    </sheetView>
  </sheetViews>
  <sheetFormatPr baseColWidth="10" defaultRowHeight="13"/>
  <cols>
    <col min="5" max="6" width="11.5" bestFit="1" customWidth="1"/>
  </cols>
  <sheetData>
    <row r="1" spans="1:8" s="193" customFormat="1" ht="46" customHeight="1" thickBot="1">
      <c r="A1" s="192" t="s">
        <v>222</v>
      </c>
      <c r="B1" s="192" t="s">
        <v>15</v>
      </c>
      <c r="C1" s="192" t="s">
        <v>223</v>
      </c>
      <c r="D1" s="192" t="s">
        <v>224</v>
      </c>
      <c r="E1" s="192" t="s">
        <v>225</v>
      </c>
      <c r="F1" s="192" t="s">
        <v>121</v>
      </c>
      <c r="G1" s="192" t="s">
        <v>226</v>
      </c>
      <c r="H1" s="192" t="s">
        <v>227</v>
      </c>
    </row>
    <row r="2" spans="1:8" s="193" customFormat="1" ht="12" customHeight="1">
      <c r="A2" s="193" t="s">
        <v>228</v>
      </c>
      <c r="B2" s="301">
        <f>'Valuation output'!B4</f>
        <v>23531</v>
      </c>
      <c r="D2" s="194">
        <f>'Valuation output'!B5</f>
        <v>0.28631734024620009</v>
      </c>
      <c r="E2" s="301">
        <f t="shared" ref="E2:E12" si="0">B2*D2</f>
        <v>6737.3333333333339</v>
      </c>
      <c r="F2" s="301">
        <f>'Valuation output'!B11</f>
        <v>0</v>
      </c>
      <c r="G2" s="301">
        <f t="shared" ref="G2:G12" si="1">E2-H2</f>
        <v>613.77000641137693</v>
      </c>
      <c r="H2" s="301">
        <f>'Valuation output'!B8</f>
        <v>6123.563326921957</v>
      </c>
    </row>
    <row r="3" spans="1:8" s="193" customFormat="1" ht="12" customHeight="1">
      <c r="A3" s="193">
        <v>1</v>
      </c>
      <c r="B3" s="301">
        <f>'Valuation output'!C4</f>
        <v>32811.666672414336</v>
      </c>
      <c r="C3" s="194">
        <f>'Valuation output'!C3</f>
        <v>0.39440171146208558</v>
      </c>
      <c r="D3" s="194">
        <f>'Valuation output'!C5</f>
        <v>0.29268560622158007</v>
      </c>
      <c r="E3" s="301">
        <f t="shared" si="0"/>
        <v>9603.5025511560052</v>
      </c>
      <c r="F3" s="301">
        <f>'Valuation output'!C11</f>
        <v>0</v>
      </c>
      <c r="G3" s="301">
        <f t="shared" si="1"/>
        <v>874.87757110548773</v>
      </c>
      <c r="H3" s="301">
        <f>'Valuation output'!C8</f>
        <v>8728.6249800505175</v>
      </c>
    </row>
    <row r="4" spans="1:8" s="193" customFormat="1" ht="12" customHeight="1">
      <c r="A4" s="193">
        <v>2</v>
      </c>
      <c r="B4" s="302">
        <f>'Valuation output'!D4</f>
        <v>35108.48333948334</v>
      </c>
      <c r="C4" s="194">
        <f t="shared" ref="C4:C12" si="2">B4/B3-1</f>
        <v>7.0000000000000062E-2</v>
      </c>
      <c r="D4" s="194">
        <f>'Valuation output'!D5</f>
        <v>0.29905387219696006</v>
      </c>
      <c r="E4" s="301">
        <f t="shared" si="0"/>
        <v>10499.327889634953</v>
      </c>
      <c r="F4" s="301">
        <f>'Valuation output'!D11</f>
        <v>0</v>
      </c>
      <c r="G4" s="301">
        <f t="shared" si="1"/>
        <v>956.4871184647327</v>
      </c>
      <c r="H4" s="301">
        <f>'Valuation output'!D8</f>
        <v>9542.8407711702203</v>
      </c>
    </row>
    <row r="5" spans="1:8" s="193" customFormat="1" ht="12" customHeight="1">
      <c r="A5" s="193">
        <v>3</v>
      </c>
      <c r="B5" s="301">
        <f>'Valuation output'!E4</f>
        <v>37566.077173247177</v>
      </c>
      <c r="C5" s="194">
        <f t="shared" si="2"/>
        <v>7.0000000000000062E-2</v>
      </c>
      <c r="D5" s="194">
        <f>'Valuation output'!E5</f>
        <v>0.30542213817234004</v>
      </c>
      <c r="E5" s="301">
        <f t="shared" si="0"/>
        <v>11473.511613000288</v>
      </c>
      <c r="F5" s="301">
        <f>'Valuation output'!E11</f>
        <v>0</v>
      </c>
      <c r="G5" s="301">
        <f t="shared" si="1"/>
        <v>1045.2351023558585</v>
      </c>
      <c r="H5" s="301">
        <f>'Valuation output'!E8</f>
        <v>10428.276510644429</v>
      </c>
    </row>
    <row r="6" spans="1:8" s="193" customFormat="1" ht="12" customHeight="1">
      <c r="A6" s="193">
        <v>4</v>
      </c>
      <c r="B6" s="301">
        <f>'Valuation output'!F4</f>
        <v>40195.702575374482</v>
      </c>
      <c r="C6" s="194">
        <f t="shared" si="2"/>
        <v>7.0000000000000062E-2</v>
      </c>
      <c r="D6" s="194">
        <f>'Valuation output'!F5</f>
        <v>0.31179040414772008</v>
      </c>
      <c r="E6" s="301">
        <f t="shared" si="0"/>
        <v>12532.634350977563</v>
      </c>
      <c r="F6" s="301">
        <f>'Valuation output'!F11</f>
        <v>0</v>
      </c>
      <c r="G6" s="301">
        <f t="shared" si="1"/>
        <v>1141.721017111262</v>
      </c>
      <c r="H6" s="301">
        <f>'Valuation output'!F8</f>
        <v>11390.913333866301</v>
      </c>
    </row>
    <row r="7" spans="1:8" s="193" customFormat="1" ht="12" customHeight="1">
      <c r="A7" s="193">
        <v>5</v>
      </c>
      <c r="B7" s="301">
        <f>'Valuation output'!G4</f>
        <v>43009.401755650695</v>
      </c>
      <c r="C7" s="194">
        <f t="shared" si="2"/>
        <v>7.0000000000000062E-2</v>
      </c>
      <c r="D7" s="194">
        <f>'Valuation output'!G5</f>
        <v>0.31815867012310006</v>
      </c>
      <c r="E7" s="301">
        <f t="shared" si="0"/>
        <v>13683.814065367949</v>
      </c>
      <c r="F7" s="301">
        <f>'Valuation output'!G11</f>
        <v>0</v>
      </c>
      <c r="G7" s="301">
        <f t="shared" si="1"/>
        <v>1246.5933079308797</v>
      </c>
      <c r="H7" s="301">
        <f>'Valuation output'!G8</f>
        <v>12437.22075743707</v>
      </c>
    </row>
    <row r="8" spans="1:8" s="193" customFormat="1" ht="12" customHeight="1">
      <c r="A8" s="193">
        <v>6</v>
      </c>
      <c r="B8" s="301">
        <f>'Valuation output'!H4</f>
        <v>45848.022271523645</v>
      </c>
      <c r="C8" s="194">
        <f t="shared" si="2"/>
        <v>6.6000000000000059E-2</v>
      </c>
      <c r="D8" s="194">
        <f>'Valuation output'!H5</f>
        <v>0.32452693609848005</v>
      </c>
      <c r="E8" s="301">
        <f t="shared" si="0"/>
        <v>14878.918193952444</v>
      </c>
      <c r="F8" s="301">
        <f>'Valuation output'!H11</f>
        <v>0</v>
      </c>
      <c r="G8" s="301">
        <f t="shared" si="1"/>
        <v>1828.319594474573</v>
      </c>
      <c r="H8" s="301">
        <f>'Valuation output'!H8</f>
        <v>13050.598599477871</v>
      </c>
    </row>
    <row r="9" spans="1:8" s="193" customFormat="1" ht="12" customHeight="1">
      <c r="A9" s="193">
        <v>7</v>
      </c>
      <c r="B9" s="301">
        <f>'Valuation output'!I4</f>
        <v>48690.599652358113</v>
      </c>
      <c r="C9" s="194">
        <f t="shared" si="2"/>
        <v>6.2000000000000055E-2</v>
      </c>
      <c r="D9" s="194">
        <f>'Valuation output'!I5</f>
        <v>0.33089520207386003</v>
      </c>
      <c r="E9" s="301">
        <f t="shared" si="0"/>
        <v>16111.485811064456</v>
      </c>
      <c r="F9" s="301">
        <f>'Valuation output'!I11</f>
        <v>0</v>
      </c>
      <c r="G9" s="301">
        <f t="shared" si="1"/>
        <v>2491.8008742588754</v>
      </c>
      <c r="H9" s="301">
        <f>'Valuation output'!I8</f>
        <v>13619.684936805581</v>
      </c>
    </row>
    <row r="10" spans="1:8" s="193" customFormat="1" ht="12" customHeight="1">
      <c r="A10" s="193">
        <v>8</v>
      </c>
      <c r="B10" s="301">
        <f>'Valuation output'!J4</f>
        <v>51514.654432194882</v>
      </c>
      <c r="C10" s="194">
        <f t="shared" si="2"/>
        <v>5.8000000000000052E-2</v>
      </c>
      <c r="D10" s="194">
        <f>'Valuation output'!J5</f>
        <v>0.33726346804924001</v>
      </c>
      <c r="E10" s="301">
        <f t="shared" si="0"/>
        <v>17374.0110091602</v>
      </c>
      <c r="F10" s="301">
        <f>'Valuation output'!J11</f>
        <v>0</v>
      </c>
      <c r="G10" s="301">
        <f t="shared" si="1"/>
        <v>3239.2095188874046</v>
      </c>
      <c r="H10" s="301">
        <f>'Valuation output'!J8</f>
        <v>14134.801490272795</v>
      </c>
    </row>
    <row r="11" spans="1:8" s="193" customFormat="1" ht="12" customHeight="1">
      <c r="A11" s="193">
        <v>9</v>
      </c>
      <c r="B11" s="301">
        <f>'Valuation output'!K4</f>
        <v>54296.445771533407</v>
      </c>
      <c r="C11" s="194">
        <f t="shared" si="2"/>
        <v>5.4000000000000048E-2</v>
      </c>
      <c r="D11" s="194">
        <f>'Valuation output'!K5</f>
        <v>0.34363173402461999</v>
      </c>
      <c r="E11" s="301">
        <f t="shared" si="0"/>
        <v>18657.98181184577</v>
      </c>
      <c r="F11" s="301">
        <f>'Valuation output'!K11</f>
        <v>0</v>
      </c>
      <c r="G11" s="301">
        <f t="shared" si="1"/>
        <v>4071.5442037390312</v>
      </c>
      <c r="H11" s="301">
        <f>'Valuation output'!K8</f>
        <v>14586.437608106738</v>
      </c>
    </row>
    <row r="12" spans="1:8" s="193" customFormat="1" ht="12" customHeight="1">
      <c r="A12" s="193">
        <v>10</v>
      </c>
      <c r="B12" s="301">
        <f>'Valuation output'!L4</f>
        <v>57011.26806011008</v>
      </c>
      <c r="C12" s="194">
        <f t="shared" si="2"/>
        <v>5.0000000000000044E-2</v>
      </c>
      <c r="D12" s="194">
        <f>'Valuation output'!L5</f>
        <v>0.35</v>
      </c>
      <c r="E12" s="301">
        <f t="shared" si="0"/>
        <v>19953.943821038527</v>
      </c>
      <c r="F12" s="301">
        <f>'Valuation output'!L11</f>
        <v>0</v>
      </c>
      <c r="G12" s="301">
        <f t="shared" si="1"/>
        <v>4988.4859552596317</v>
      </c>
      <c r="H12" s="301">
        <f>'Valuation output'!L8</f>
        <v>14965.457865778895</v>
      </c>
    </row>
    <row r="13" spans="1:8" s="193" customFormat="1" thickBot="1"/>
    <row r="14" spans="1:8" s="193" customFormat="1" ht="46" customHeight="1" thickBot="1">
      <c r="A14" s="192" t="s">
        <v>222</v>
      </c>
      <c r="B14" s="192" t="s">
        <v>227</v>
      </c>
      <c r="C14" s="192" t="s">
        <v>229</v>
      </c>
      <c r="D14" s="192" t="s">
        <v>230</v>
      </c>
      <c r="E14" s="192" t="s">
        <v>231</v>
      </c>
      <c r="F14" s="192" t="s">
        <v>120</v>
      </c>
      <c r="G14" s="192" t="s">
        <v>232</v>
      </c>
      <c r="H14" s="192" t="s">
        <v>233</v>
      </c>
    </row>
    <row r="15" spans="1:8" s="193" customFormat="1" ht="12" customHeight="1">
      <c r="A15" s="193" t="str">
        <f t="shared" ref="A15:A25" si="3">A2</f>
        <v>Traling 12 month</v>
      </c>
      <c r="B15" s="301">
        <f t="shared" ref="B15:B25" si="4">H2</f>
        <v>6123.563326921957</v>
      </c>
      <c r="G15" s="303">
        <f>'Valuation output'!B43</f>
        <v>22037.666666666664</v>
      </c>
      <c r="H15" s="196">
        <f t="shared" ref="H15:H25" si="5">B15/G15</f>
        <v>0.27786804381537478</v>
      </c>
    </row>
    <row r="16" spans="1:8" s="193" customFormat="1" ht="12" customHeight="1">
      <c r="A16" s="193">
        <f t="shared" si="3"/>
        <v>1</v>
      </c>
      <c r="B16" s="301">
        <f t="shared" si="4"/>
        <v>8728.6249800505175</v>
      </c>
      <c r="C16" s="301">
        <f t="shared" ref="C16:C25" si="6">B3-B2</f>
        <v>9280.6666724143361</v>
      </c>
      <c r="D16" s="195">
        <f>'Valuation output'!C42</f>
        <v>2</v>
      </c>
      <c r="E16" s="301">
        <f t="shared" ref="E16:E25" si="7">C16/D16</f>
        <v>4640.333336207168</v>
      </c>
      <c r="F16" s="301">
        <f t="shared" ref="F16:F25" si="8">B16-E16</f>
        <v>4088.2916438433494</v>
      </c>
      <c r="G16" s="301">
        <f t="shared" ref="G16:G25" si="9">G15+E16</f>
        <v>26678.000002873832</v>
      </c>
      <c r="H16" s="196">
        <f t="shared" si="5"/>
        <v>0.32718438335370886</v>
      </c>
    </row>
    <row r="17" spans="1:8" s="193" customFormat="1" ht="12" customHeight="1">
      <c r="A17" s="193">
        <f t="shared" si="3"/>
        <v>2</v>
      </c>
      <c r="B17" s="301">
        <f t="shared" si="4"/>
        <v>9542.8407711702203</v>
      </c>
      <c r="C17" s="301">
        <f t="shared" si="6"/>
        <v>2296.8166670690043</v>
      </c>
      <c r="D17" s="195">
        <f>'Valuation output'!D42</f>
        <v>2</v>
      </c>
      <c r="E17" s="301">
        <f t="shared" si="7"/>
        <v>1148.4083335345022</v>
      </c>
      <c r="F17" s="301">
        <f t="shared" si="8"/>
        <v>8394.4324376357181</v>
      </c>
      <c r="G17" s="301">
        <f t="shared" si="9"/>
        <v>27826.408336408334</v>
      </c>
      <c r="H17" s="196">
        <f t="shared" si="5"/>
        <v>0.34294187937594078</v>
      </c>
    </row>
    <row r="18" spans="1:8" s="193" customFormat="1" ht="12" customHeight="1">
      <c r="A18" s="193">
        <f t="shared" si="3"/>
        <v>3</v>
      </c>
      <c r="B18" s="301">
        <f t="shared" si="4"/>
        <v>10428.276510644429</v>
      </c>
      <c r="C18" s="301">
        <f t="shared" si="6"/>
        <v>2457.5938337638363</v>
      </c>
      <c r="D18" s="195">
        <f>'Valuation output'!E42</f>
        <v>2</v>
      </c>
      <c r="E18" s="301">
        <f t="shared" si="7"/>
        <v>1228.7969168819182</v>
      </c>
      <c r="F18" s="301">
        <f t="shared" si="8"/>
        <v>9199.4795937625113</v>
      </c>
      <c r="G18" s="301">
        <f t="shared" si="9"/>
        <v>29055.205253290253</v>
      </c>
      <c r="H18" s="196">
        <f t="shared" si="5"/>
        <v>0.3589125053406228</v>
      </c>
    </row>
    <row r="19" spans="1:8" s="193" customFormat="1" ht="12" customHeight="1">
      <c r="A19" s="193">
        <f t="shared" si="3"/>
        <v>4</v>
      </c>
      <c r="B19" s="301">
        <f t="shared" si="4"/>
        <v>11390.913333866301</v>
      </c>
      <c r="C19" s="301">
        <f t="shared" si="6"/>
        <v>2629.6254021273053</v>
      </c>
      <c r="D19" s="195">
        <f>'Valuation output'!F42</f>
        <v>2</v>
      </c>
      <c r="E19" s="301">
        <f t="shared" si="7"/>
        <v>1314.8127010636526</v>
      </c>
      <c r="F19" s="301">
        <f t="shared" si="8"/>
        <v>10076.100632802649</v>
      </c>
      <c r="G19" s="301">
        <f t="shared" si="9"/>
        <v>30370.017954353905</v>
      </c>
      <c r="H19" s="196">
        <f t="shared" si="5"/>
        <v>0.37507101085639227</v>
      </c>
    </row>
    <row r="20" spans="1:8" s="193" customFormat="1" ht="12" customHeight="1">
      <c r="A20" s="193">
        <f t="shared" si="3"/>
        <v>5</v>
      </c>
      <c r="B20" s="301">
        <f t="shared" si="4"/>
        <v>12437.22075743707</v>
      </c>
      <c r="C20" s="301">
        <f t="shared" si="6"/>
        <v>2813.6991802762132</v>
      </c>
      <c r="D20" s="195">
        <f>'Valuation output'!G42</f>
        <v>2</v>
      </c>
      <c r="E20" s="301">
        <f t="shared" si="7"/>
        <v>1406.8495901381066</v>
      </c>
      <c r="F20" s="301">
        <f t="shared" si="8"/>
        <v>11030.371167298963</v>
      </c>
      <c r="G20" s="301">
        <f t="shared" si="9"/>
        <v>31776.867544492012</v>
      </c>
      <c r="H20" s="196">
        <f t="shared" si="5"/>
        <v>0.39139228371151558</v>
      </c>
    </row>
    <row r="21" spans="1:8" s="193" customFormat="1" ht="12" customHeight="1">
      <c r="A21" s="193">
        <f t="shared" si="3"/>
        <v>6</v>
      </c>
      <c r="B21" s="301">
        <f t="shared" si="4"/>
        <v>13050.598599477871</v>
      </c>
      <c r="C21" s="301">
        <f t="shared" si="6"/>
        <v>2838.6205158729499</v>
      </c>
      <c r="D21" s="195">
        <f>'Valuation output'!H42</f>
        <v>2</v>
      </c>
      <c r="E21" s="301">
        <f t="shared" si="7"/>
        <v>1419.310257936475</v>
      </c>
      <c r="F21" s="301">
        <f t="shared" si="8"/>
        <v>11631.288341541396</v>
      </c>
      <c r="G21" s="301">
        <f t="shared" si="9"/>
        <v>33196.177802428487</v>
      </c>
      <c r="H21" s="196">
        <f t="shared" si="5"/>
        <v>0.3931355795582932</v>
      </c>
    </row>
    <row r="22" spans="1:8" s="193" customFormat="1" ht="12" customHeight="1">
      <c r="A22" s="193">
        <f t="shared" si="3"/>
        <v>7</v>
      </c>
      <c r="B22" s="301">
        <f t="shared" si="4"/>
        <v>13619.684936805581</v>
      </c>
      <c r="C22" s="301">
        <f t="shared" si="6"/>
        <v>2842.5773808344675</v>
      </c>
      <c r="D22" s="195">
        <f>'Valuation output'!I42</f>
        <v>2</v>
      </c>
      <c r="E22" s="301">
        <f t="shared" si="7"/>
        <v>1421.2886904172337</v>
      </c>
      <c r="F22" s="301">
        <f t="shared" si="8"/>
        <v>12198.396246388347</v>
      </c>
      <c r="G22" s="301">
        <f t="shared" si="9"/>
        <v>34617.46649284572</v>
      </c>
      <c r="H22" s="196">
        <f t="shared" si="5"/>
        <v>0.39343390249602228</v>
      </c>
    </row>
    <row r="23" spans="1:8" s="193" customFormat="1" ht="12" customHeight="1">
      <c r="A23" s="193">
        <f t="shared" si="3"/>
        <v>8</v>
      </c>
      <c r="B23" s="301">
        <f t="shared" si="4"/>
        <v>14134.801490272795</v>
      </c>
      <c r="C23" s="301">
        <f t="shared" si="6"/>
        <v>2824.0547798367697</v>
      </c>
      <c r="D23" s="195">
        <f>'Valuation output'!J42</f>
        <v>2</v>
      </c>
      <c r="E23" s="301">
        <f t="shared" si="7"/>
        <v>1412.0273899183849</v>
      </c>
      <c r="F23" s="301">
        <f t="shared" si="8"/>
        <v>12722.774100354411</v>
      </c>
      <c r="G23" s="301">
        <f t="shared" si="9"/>
        <v>36029.493882764102</v>
      </c>
      <c r="H23" s="196">
        <f t="shared" si="5"/>
        <v>0.39231196353370495</v>
      </c>
    </row>
    <row r="24" spans="1:8" s="193" customFormat="1" ht="12" customHeight="1">
      <c r="A24" s="193">
        <f t="shared" si="3"/>
        <v>9</v>
      </c>
      <c r="B24" s="301">
        <f t="shared" si="4"/>
        <v>14586.437608106738</v>
      </c>
      <c r="C24" s="301">
        <f t="shared" si="6"/>
        <v>2781.7913393385243</v>
      </c>
      <c r="D24" s="195">
        <f>'Valuation output'!K42</f>
        <v>2</v>
      </c>
      <c r="E24" s="301">
        <f t="shared" si="7"/>
        <v>1390.8956696692621</v>
      </c>
      <c r="F24" s="301">
        <f t="shared" si="8"/>
        <v>13195.541938437476</v>
      </c>
      <c r="G24" s="301">
        <f t="shared" si="9"/>
        <v>37420.389552433364</v>
      </c>
      <c r="H24" s="196">
        <f t="shared" si="5"/>
        <v>0.38979919189959944</v>
      </c>
    </row>
    <row r="25" spans="1:8" s="193" customFormat="1" ht="12" customHeight="1">
      <c r="A25" s="193">
        <f t="shared" si="3"/>
        <v>10</v>
      </c>
      <c r="B25" s="301">
        <f t="shared" si="4"/>
        <v>14965.457865778895</v>
      </c>
      <c r="C25" s="301">
        <f t="shared" si="6"/>
        <v>2714.8222885766736</v>
      </c>
      <c r="D25" s="195">
        <f>'Valuation output'!L42</f>
        <v>2</v>
      </c>
      <c r="E25" s="301">
        <f t="shared" si="7"/>
        <v>1357.4111442883368</v>
      </c>
      <c r="F25" s="301">
        <f t="shared" si="8"/>
        <v>13608.046721490558</v>
      </c>
      <c r="G25" s="301">
        <f t="shared" si="9"/>
        <v>38777.800696721701</v>
      </c>
      <c r="H25" s="196">
        <f t="shared" si="5"/>
        <v>0.38592848477464281</v>
      </c>
    </row>
    <row r="26" spans="1:8" s="193" customFormat="1" thickBot="1"/>
    <row r="27" spans="1:8" s="193" customFormat="1" ht="31" customHeight="1" thickBot="1">
      <c r="A27" s="192" t="s">
        <v>222</v>
      </c>
      <c r="B27" s="192" t="s">
        <v>234</v>
      </c>
      <c r="C27" s="192" t="s">
        <v>235</v>
      </c>
      <c r="D27" s="192" t="s">
        <v>236</v>
      </c>
      <c r="E27" s="192" t="s">
        <v>237</v>
      </c>
      <c r="F27" s="192" t="s">
        <v>238</v>
      </c>
      <c r="G27" s="192" t="s">
        <v>239</v>
      </c>
      <c r="H27" s="192" t="s">
        <v>240</v>
      </c>
    </row>
    <row r="28" spans="1:8">
      <c r="A28">
        <f t="shared" ref="A28:A37" si="10">A16</f>
        <v>1</v>
      </c>
      <c r="H28" s="190">
        <f>'Valuation output'!C13</f>
        <v>8.2370575222963371E-2</v>
      </c>
    </row>
    <row r="29" spans="1:8">
      <c r="A29">
        <f t="shared" si="10"/>
        <v>2</v>
      </c>
      <c r="H29" s="190">
        <f>'Valuation output'!D13</f>
        <v>8.2370575222963371E-2</v>
      </c>
    </row>
    <row r="30" spans="1:8">
      <c r="A30">
        <f t="shared" si="10"/>
        <v>3</v>
      </c>
      <c r="H30" s="190">
        <f>'Valuation output'!E13</f>
        <v>8.2370575222963371E-2</v>
      </c>
    </row>
    <row r="31" spans="1:8">
      <c r="A31">
        <f t="shared" si="10"/>
        <v>4</v>
      </c>
      <c r="H31" s="190">
        <f>'Valuation output'!F13</f>
        <v>8.2370575222963371E-2</v>
      </c>
    </row>
    <row r="32" spans="1:8">
      <c r="A32">
        <f t="shared" si="10"/>
        <v>5</v>
      </c>
      <c r="H32" s="190">
        <f>'Valuation output'!G13</f>
        <v>8.2370575222963371E-2</v>
      </c>
    </row>
    <row r="33" spans="1:8">
      <c r="A33">
        <f t="shared" si="10"/>
        <v>6</v>
      </c>
      <c r="H33" s="190">
        <f>'Valuation output'!H13</f>
        <v>7.8896460178370695E-2</v>
      </c>
    </row>
    <row r="34" spans="1:8">
      <c r="A34">
        <f t="shared" si="10"/>
        <v>7</v>
      </c>
      <c r="H34" s="190">
        <f>'Valuation output'!I13</f>
        <v>7.5422345133778018E-2</v>
      </c>
    </row>
    <row r="35" spans="1:8">
      <c r="A35">
        <f t="shared" si="10"/>
        <v>8</v>
      </c>
      <c r="H35" s="190">
        <f>'Valuation output'!J13</f>
        <v>7.1948230089185342E-2</v>
      </c>
    </row>
    <row r="36" spans="1:8">
      <c r="A36">
        <f t="shared" si="10"/>
        <v>9</v>
      </c>
      <c r="H36" s="190">
        <f>'Valuation output'!K13</f>
        <v>6.8474115044592665E-2</v>
      </c>
    </row>
    <row r="37" spans="1:8">
      <c r="A37">
        <f t="shared" si="10"/>
        <v>10</v>
      </c>
      <c r="H37" s="190">
        <f>'Valuation output'!L13</f>
        <v>6.4999999999999988E-2</v>
      </c>
    </row>
    <row r="38" spans="1:8" ht="14" customHeight="1" thickBot="1"/>
    <row r="39" spans="1:8" ht="31" customHeight="1" thickBot="1">
      <c r="A39" s="192" t="s">
        <v>222</v>
      </c>
      <c r="B39" s="192" t="s">
        <v>240</v>
      </c>
      <c r="C39" s="192" t="s">
        <v>241</v>
      </c>
      <c r="D39" s="192" t="s">
        <v>120</v>
      </c>
      <c r="E39" s="192" t="s">
        <v>242</v>
      </c>
      <c r="F39" s="192" t="s">
        <v>243</v>
      </c>
    </row>
    <row r="40" spans="1:8">
      <c r="A40">
        <f t="shared" ref="A40:A49" si="11">A28</f>
        <v>1</v>
      </c>
      <c r="B40" s="197">
        <f t="shared" ref="B40:B49" si="12">H28</f>
        <v>8.2370575222963371E-2</v>
      </c>
      <c r="C40" s="198">
        <f>(1+'Summary Sheet'!B40)</f>
        <v>1.0823705752229633</v>
      </c>
      <c r="D40" s="304">
        <f t="shared" ref="D40:D49" si="13">F16</f>
        <v>4088.2916438433494</v>
      </c>
      <c r="F40" s="304">
        <f t="shared" ref="F40:F48" si="14">D40/C40</f>
        <v>3777.1644364973431</v>
      </c>
    </row>
    <row r="41" spans="1:8">
      <c r="A41">
        <f t="shared" si="11"/>
        <v>2</v>
      </c>
      <c r="B41" s="197">
        <f t="shared" si="12"/>
        <v>8.2370575222963371E-2</v>
      </c>
      <c r="C41" s="198">
        <f t="shared" ref="C41:C49" si="15">C40*(1+B41)</f>
        <v>1.1715260621084884</v>
      </c>
      <c r="D41" s="304">
        <f t="shared" si="13"/>
        <v>8394.4324376357181</v>
      </c>
      <c r="F41" s="304">
        <f t="shared" si="14"/>
        <v>7165.382580160096</v>
      </c>
    </row>
    <row r="42" spans="1:8">
      <c r="A42">
        <f t="shared" si="11"/>
        <v>3</v>
      </c>
      <c r="B42" s="197">
        <f t="shared" si="12"/>
        <v>8.2370575222963371E-2</v>
      </c>
      <c r="C42" s="198">
        <f t="shared" si="15"/>
        <v>1.2680253377330577</v>
      </c>
      <c r="D42" s="304">
        <f t="shared" si="13"/>
        <v>9199.4795937625113</v>
      </c>
      <c r="F42" s="304">
        <f t="shared" si="14"/>
        <v>7254.9651178178337</v>
      </c>
    </row>
    <row r="43" spans="1:8">
      <c r="A43">
        <f t="shared" si="11"/>
        <v>4</v>
      </c>
      <c r="B43" s="197">
        <f t="shared" si="12"/>
        <v>8.2370575222963371E-2</v>
      </c>
      <c r="C43" s="198">
        <f t="shared" si="15"/>
        <v>1.3724733141994221</v>
      </c>
      <c r="D43" s="304">
        <f t="shared" si="13"/>
        <v>10076.100632802649</v>
      </c>
      <c r="F43" s="304">
        <f t="shared" si="14"/>
        <v>7341.5639696281769</v>
      </c>
    </row>
    <row r="44" spans="1:8">
      <c r="A44">
        <f t="shared" si="11"/>
        <v>5</v>
      </c>
      <c r="B44" s="197">
        <f t="shared" si="12"/>
        <v>8.2370575222963371E-2</v>
      </c>
      <c r="C44" s="198">
        <f t="shared" si="15"/>
        <v>1.4855247305681953</v>
      </c>
      <c r="D44" s="304">
        <f t="shared" si="13"/>
        <v>11030.371167298963</v>
      </c>
      <c r="F44" s="304">
        <f t="shared" si="14"/>
        <v>7425.235635814679</v>
      </c>
    </row>
    <row r="45" spans="1:8">
      <c r="A45">
        <f t="shared" si="11"/>
        <v>6</v>
      </c>
      <c r="B45" s="197">
        <f t="shared" si="12"/>
        <v>7.8896460178370695E-2</v>
      </c>
      <c r="C45" s="198">
        <f t="shared" si="15"/>
        <v>1.6027273733174536</v>
      </c>
      <c r="D45" s="304">
        <f t="shared" si="13"/>
        <v>11631.288341541396</v>
      </c>
      <c r="F45" s="304">
        <f t="shared" si="14"/>
        <v>7257.1845562642529</v>
      </c>
    </row>
    <row r="46" spans="1:8">
      <c r="A46">
        <f t="shared" si="11"/>
        <v>7</v>
      </c>
      <c r="B46" s="197">
        <f t="shared" si="12"/>
        <v>7.5422345133778018E-2</v>
      </c>
      <c r="C46" s="198">
        <f t="shared" si="15"/>
        <v>1.7236088304231563</v>
      </c>
      <c r="D46" s="304">
        <f t="shared" si="13"/>
        <v>12198.396246388347</v>
      </c>
      <c r="F46" s="304">
        <f t="shared" si="14"/>
        <v>7077.2416751854116</v>
      </c>
    </row>
    <row r="47" spans="1:8">
      <c r="A47">
        <f t="shared" si="11"/>
        <v>8</v>
      </c>
      <c r="B47" s="197">
        <f t="shared" si="12"/>
        <v>7.1948230089185342E-2</v>
      </c>
      <c r="C47" s="198">
        <f t="shared" si="15"/>
        <v>1.8476194351381932</v>
      </c>
      <c r="D47" s="304">
        <f t="shared" si="13"/>
        <v>12722.774100354411</v>
      </c>
      <c r="F47" s="304">
        <f t="shared" si="14"/>
        <v>6886.0360842668924</v>
      </c>
    </row>
    <row r="48" spans="1:8">
      <c r="A48">
        <f t="shared" si="11"/>
        <v>9</v>
      </c>
      <c r="B48" s="197">
        <f t="shared" si="12"/>
        <v>6.8474115044592665E-2</v>
      </c>
      <c r="C48" s="198">
        <f t="shared" si="15"/>
        <v>1.974133540898471</v>
      </c>
      <c r="D48" s="304">
        <f t="shared" si="13"/>
        <v>13195.541938437476</v>
      </c>
      <c r="F48" s="304">
        <f t="shared" si="14"/>
        <v>6684.21951456835</v>
      </c>
    </row>
    <row r="49" spans="1:6">
      <c r="A49">
        <f t="shared" si="11"/>
        <v>10</v>
      </c>
      <c r="B49" s="197">
        <f t="shared" si="12"/>
        <v>6.4999999999999988E-2</v>
      </c>
      <c r="C49" s="198">
        <f t="shared" si="15"/>
        <v>2.1024522210568715</v>
      </c>
      <c r="D49" s="304">
        <f t="shared" si="13"/>
        <v>13608.046721490558</v>
      </c>
      <c r="E49" s="304">
        <f>'Valuation output'!B19</f>
        <v>265823.9453408976</v>
      </c>
      <c r="F49" s="304">
        <f>(D49+E49)/C49</f>
        <v>132907.65386426801</v>
      </c>
    </row>
    <row r="50" spans="1:6">
      <c r="A50" t="s">
        <v>133</v>
      </c>
      <c r="F50" s="304">
        <f>SUM(F40:F49)</f>
        <v>193776.64743447106</v>
      </c>
    </row>
  </sheetData>
  <pageMargins left="0.75" right="0.75" top="1" bottom="1"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4"/>
  <sheetViews>
    <sheetView zoomScale="125" zoomScaleNormal="125" workbookViewId="0">
      <selection activeCell="E5" sqref="E5"/>
    </sheetView>
  </sheetViews>
  <sheetFormatPr baseColWidth="10" defaultRowHeight="13"/>
  <sheetData>
    <row r="1" spans="1:11" s="6" customFormat="1" ht="19" customHeight="1">
      <c r="A1" s="22" t="s">
        <v>244</v>
      </c>
      <c r="B1" s="22"/>
      <c r="C1" s="22"/>
      <c r="D1" s="22"/>
      <c r="E1" s="22"/>
      <c r="F1" s="22"/>
      <c r="G1" s="22"/>
      <c r="H1" s="22"/>
      <c r="I1" s="22"/>
      <c r="J1" s="22"/>
      <c r="K1" s="22"/>
    </row>
    <row r="2" spans="1:11" s="6" customFormat="1" ht="19" customHeight="1">
      <c r="A2" s="22" t="s">
        <v>245</v>
      </c>
      <c r="B2" s="22"/>
      <c r="C2" s="22"/>
      <c r="D2" s="22"/>
      <c r="E2" s="22"/>
      <c r="F2" s="22"/>
      <c r="G2" s="22"/>
      <c r="H2" s="22"/>
      <c r="I2" s="22"/>
      <c r="J2" s="22"/>
      <c r="K2" s="22"/>
    </row>
    <row r="3" spans="1:11" s="54" customFormat="1" ht="14" customHeight="1">
      <c r="A3" s="54" t="s">
        <v>205</v>
      </c>
    </row>
    <row r="4" spans="1:11" s="56" customFormat="1" ht="14" customHeight="1">
      <c r="A4" s="56" t="s">
        <v>246</v>
      </c>
      <c r="E4" s="305">
        <v>107</v>
      </c>
    </row>
    <row r="5" spans="1:11" s="13" customFormat="1" ht="14" customHeight="1">
      <c r="A5" s="13" t="s">
        <v>247</v>
      </c>
    </row>
    <row r="6" spans="1:11" s="56" customFormat="1" ht="14" customHeight="1">
      <c r="A6" s="23" t="s">
        <v>222</v>
      </c>
      <c r="B6" s="23" t="s">
        <v>248</v>
      </c>
      <c r="C6" s="56" t="s">
        <v>249</v>
      </c>
    </row>
    <row r="7" spans="1:11" s="56" customFormat="1" ht="14" customHeight="1">
      <c r="A7" s="23">
        <v>1</v>
      </c>
      <c r="B7" s="306">
        <v>138</v>
      </c>
    </row>
    <row r="8" spans="1:11" s="56" customFormat="1" ht="14" customHeight="1">
      <c r="A8" s="23">
        <v>2</v>
      </c>
      <c r="B8" s="306">
        <v>97</v>
      </c>
    </row>
    <row r="9" spans="1:11" s="56" customFormat="1" ht="14" customHeight="1">
      <c r="A9" s="23">
        <v>3</v>
      </c>
      <c r="B9" s="306">
        <v>66</v>
      </c>
    </row>
    <row r="10" spans="1:11" s="56" customFormat="1" ht="14" customHeight="1">
      <c r="A10" s="23">
        <v>4</v>
      </c>
      <c r="B10" s="306">
        <v>31</v>
      </c>
    </row>
    <row r="11" spans="1:11" s="56" customFormat="1" ht="14" customHeight="1">
      <c r="A11" s="23">
        <v>5</v>
      </c>
      <c r="B11" s="306">
        <v>18</v>
      </c>
    </row>
    <row r="12" spans="1:11" s="56" customFormat="1" ht="14" customHeight="1">
      <c r="A12" s="23" t="s">
        <v>250</v>
      </c>
      <c r="B12" s="191">
        <v>35</v>
      </c>
    </row>
    <row r="13" spans="1:11" s="56" customFormat="1" ht="14" customHeight="1"/>
    <row r="14" spans="1:11" s="24" customFormat="1" ht="17" customHeight="1" thickBot="1">
      <c r="A14" s="24" t="s">
        <v>251</v>
      </c>
    </row>
    <row r="15" spans="1:11" s="56" customFormat="1" ht="15" customHeight="1" thickBot="1">
      <c r="A15" s="56" t="s">
        <v>252</v>
      </c>
      <c r="C15" s="39">
        <v>0.04</v>
      </c>
      <c r="D15" s="56" t="s">
        <v>253</v>
      </c>
    </row>
    <row r="16" spans="1:11" s="56" customFormat="1" ht="14" customHeight="1"/>
    <row r="17" spans="1:7" s="56" customFormat="1" ht="14" customHeight="1">
      <c r="D17" s="307"/>
    </row>
    <row r="18" spans="1:7" s="56" customFormat="1" ht="14" customHeight="1">
      <c r="A18" s="56" t="s">
        <v>254</v>
      </c>
      <c r="D18" s="26">
        <f>IF(B12&gt;0,ROUND(B12/AVERAGE(B7:B11),0),0)</f>
        <v>1</v>
      </c>
      <c r="E18" s="56" t="s">
        <v>255</v>
      </c>
    </row>
    <row r="19" spans="1:7" s="54" customFormat="1" ht="14" customHeight="1">
      <c r="E19" s="56" t="s">
        <v>256</v>
      </c>
    </row>
    <row r="20" spans="1:7" s="13" customFormat="1" ht="14" customHeight="1">
      <c r="A20" s="13" t="s">
        <v>257</v>
      </c>
    </row>
    <row r="21" spans="1:7" s="56" customFormat="1" ht="14" customHeight="1">
      <c r="A21" s="23" t="s">
        <v>222</v>
      </c>
      <c r="B21" s="23" t="s">
        <v>248</v>
      </c>
      <c r="C21" s="23" t="s">
        <v>243</v>
      </c>
    </row>
    <row r="22" spans="1:7" s="56" customFormat="1" ht="14" customHeight="1">
      <c r="A22" s="16">
        <f t="shared" ref="A22:B26" si="0">A7</f>
        <v>1</v>
      </c>
      <c r="B22" s="308">
        <f t="shared" si="0"/>
        <v>138</v>
      </c>
      <c r="C22" s="309">
        <f>B22/(1+$C$15)^A22</f>
        <v>132.69230769230768</v>
      </c>
    </row>
    <row r="23" spans="1:7" s="56" customFormat="1" ht="14" customHeight="1">
      <c r="A23" s="16">
        <f t="shared" si="0"/>
        <v>2</v>
      </c>
      <c r="B23" s="308">
        <f t="shared" si="0"/>
        <v>97</v>
      </c>
      <c r="C23" s="309">
        <f>B23/(1+$C$15)^A23</f>
        <v>89.681952662721883</v>
      </c>
    </row>
    <row r="24" spans="1:7" s="56" customFormat="1" ht="14" customHeight="1">
      <c r="A24" s="16">
        <f t="shared" si="0"/>
        <v>3</v>
      </c>
      <c r="B24" s="308">
        <f t="shared" si="0"/>
        <v>66</v>
      </c>
      <c r="C24" s="309">
        <f>B24/(1+$C$15)^A24</f>
        <v>58.673759672280376</v>
      </c>
    </row>
    <row r="25" spans="1:7" s="56" customFormat="1" ht="14" customHeight="1">
      <c r="A25" s="16">
        <f t="shared" si="0"/>
        <v>4</v>
      </c>
      <c r="B25" s="308">
        <f t="shared" si="0"/>
        <v>31</v>
      </c>
      <c r="C25" s="309">
        <f>B25/(1+$C$15)^A25</f>
        <v>26.498929921921498</v>
      </c>
    </row>
    <row r="26" spans="1:7" s="56" customFormat="1" ht="14" customHeight="1">
      <c r="A26" s="16">
        <f t="shared" si="0"/>
        <v>5</v>
      </c>
      <c r="B26" s="308">
        <f t="shared" si="0"/>
        <v>18</v>
      </c>
      <c r="C26" s="309">
        <f>B26/(1+$C$15)^A26</f>
        <v>14.794687921668327</v>
      </c>
    </row>
    <row r="27" spans="1:7" s="56" customFormat="1" ht="15" customHeight="1" thickBot="1">
      <c r="A27" s="27" t="str">
        <f>A12</f>
        <v>6 and beyond</v>
      </c>
      <c r="B27" s="310">
        <f>IF(B12&gt;0,IF(D18&gt;0,B12/D18,B12),0)</f>
        <v>35</v>
      </c>
      <c r="C27" s="311">
        <f>IF(D18&gt;0,(B27*(1-(1+C15)^(-D18))/C15)/(1+$C$15)^5,B27/(1+C15)^6)</f>
        <v>27.661008400555158</v>
      </c>
      <c r="D27" s="56" t="s">
        <v>258</v>
      </c>
    </row>
    <row r="28" spans="1:7" s="56" customFormat="1" ht="15" customHeight="1" thickBot="1">
      <c r="A28" s="25" t="s">
        <v>259</v>
      </c>
      <c r="B28" s="28"/>
      <c r="C28" s="312">
        <f>SUM(C22:C27)</f>
        <v>350.00264627145486</v>
      </c>
    </row>
    <row r="29" spans="1:7" s="56" customFormat="1" ht="14" customHeight="1"/>
    <row r="30" spans="1:7" s="56" customFormat="1" ht="14" customHeight="1">
      <c r="A30" s="13" t="s">
        <v>260</v>
      </c>
    </row>
    <row r="31" spans="1:7" s="56" customFormat="1" ht="15" customHeight="1" thickBot="1">
      <c r="A31" s="56" t="s">
        <v>261</v>
      </c>
      <c r="F31" s="311">
        <f>C28/(5+D18)</f>
        <v>58.333774378575811</v>
      </c>
      <c r="G31" s="56" t="s">
        <v>262</v>
      </c>
    </row>
    <row r="32" spans="1:7" s="56" customFormat="1" ht="15" customHeight="1" thickBot="1">
      <c r="A32" s="56" t="s">
        <v>263</v>
      </c>
      <c r="F32" s="313">
        <f>E4-F31</f>
        <v>48.666225621424189</v>
      </c>
      <c r="G32" s="56" t="s">
        <v>264</v>
      </c>
    </row>
    <row r="33" spans="1:7" s="56" customFormat="1" ht="15" customHeight="1" thickBot="1">
      <c r="A33" s="56" t="s">
        <v>265</v>
      </c>
      <c r="F33" s="314">
        <f>C28</f>
        <v>350.00264627145486</v>
      </c>
      <c r="G33" s="56" t="s">
        <v>266</v>
      </c>
    </row>
    <row r="34" spans="1:7" ht="14" customHeight="1">
      <c r="A34" s="56" t="s">
        <v>267</v>
      </c>
      <c r="F34" s="315">
        <f>C28/(5+D18)</f>
        <v>58.333774378575811</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40"/>
  <sheetViews>
    <sheetView workbookViewId="0">
      <selection activeCell="B14" sqref="B14"/>
    </sheetView>
  </sheetViews>
  <sheetFormatPr baseColWidth="10" defaultRowHeight="13"/>
  <sheetData>
    <row r="1" spans="1:10" s="6" customFormat="1" ht="19" customHeight="1">
      <c r="A1" s="22" t="s">
        <v>268</v>
      </c>
      <c r="B1" s="22"/>
      <c r="C1" s="22"/>
      <c r="D1" s="22"/>
      <c r="E1" s="22"/>
      <c r="F1" s="22"/>
      <c r="G1" s="22"/>
      <c r="H1" s="22"/>
      <c r="I1" s="22"/>
      <c r="J1" s="22"/>
    </row>
    <row r="2" spans="1:10" s="56" customFormat="1" ht="14" customHeight="1">
      <c r="A2" s="56" t="s">
        <v>269</v>
      </c>
    </row>
    <row r="3" spans="1:10" s="56" customFormat="1" ht="14" customHeight="1">
      <c r="A3" s="56" t="s">
        <v>270</v>
      </c>
    </row>
    <row r="4" spans="1:10" s="56" customFormat="1" ht="14" customHeight="1"/>
    <row r="5" spans="1:10" s="56" customFormat="1" ht="14" customHeight="1">
      <c r="A5" s="54" t="s">
        <v>205</v>
      </c>
    </row>
    <row r="6" spans="1:10" s="56" customFormat="1" ht="14" customHeight="1">
      <c r="A6" s="56" t="s">
        <v>271</v>
      </c>
      <c r="F6" s="69">
        <v>3</v>
      </c>
      <c r="G6" s="56" t="s">
        <v>272</v>
      </c>
    </row>
    <row r="7" spans="1:10" s="56" customFormat="1" ht="14" customHeight="1">
      <c r="A7" s="56" t="s">
        <v>273</v>
      </c>
      <c r="F7" s="305">
        <v>5975</v>
      </c>
      <c r="G7" s="56" t="s">
        <v>274</v>
      </c>
    </row>
    <row r="8" spans="1:10" s="56" customFormat="1" ht="14" customHeight="1">
      <c r="A8" s="56" t="s">
        <v>275</v>
      </c>
    </row>
    <row r="9" spans="1:10" s="56" customFormat="1" ht="14" customHeight="1">
      <c r="A9" s="56" t="s">
        <v>276</v>
      </c>
    </row>
    <row r="10" spans="1:10" s="103" customFormat="1" ht="14" customHeight="1">
      <c r="A10" s="101" t="s">
        <v>222</v>
      </c>
      <c r="B10" s="101" t="s">
        <v>277</v>
      </c>
      <c r="C10" s="102"/>
      <c r="D10" s="102"/>
      <c r="E10" s="102"/>
      <c r="F10" s="102"/>
      <c r="G10" s="102"/>
      <c r="H10" s="102"/>
      <c r="I10" s="102"/>
    </row>
    <row r="11" spans="1:10" s="103" customFormat="1" ht="14" customHeight="1">
      <c r="A11" s="104">
        <v>-1</v>
      </c>
      <c r="B11" s="105">
        <v>5398</v>
      </c>
      <c r="C11" s="102" t="s">
        <v>278</v>
      </c>
      <c r="D11" s="102"/>
      <c r="E11" s="102"/>
      <c r="F11" s="102"/>
      <c r="G11" s="102"/>
      <c r="H11" s="102"/>
      <c r="I11" s="102"/>
    </row>
    <row r="12" spans="1:10" s="103" customFormat="1" ht="14" customHeight="1">
      <c r="A12" s="104">
        <f t="shared" ref="A12:A20" si="0">IF((0-A11)&lt;$F$6,IF(A11&gt;-1,,A11-1),)</f>
        <v>-2</v>
      </c>
      <c r="B12" s="105">
        <v>5625</v>
      </c>
      <c r="C12" s="102" t="s">
        <v>279</v>
      </c>
      <c r="D12" s="102"/>
      <c r="E12" s="102"/>
      <c r="F12" s="102"/>
      <c r="G12" s="102"/>
      <c r="H12" s="102"/>
      <c r="I12" s="102"/>
    </row>
    <row r="13" spans="1:10" s="103" customFormat="1" ht="14" customHeight="1">
      <c r="A13" s="104">
        <f t="shared" si="0"/>
        <v>-3</v>
      </c>
      <c r="B13" s="105">
        <v>5455</v>
      </c>
      <c r="C13" s="102"/>
      <c r="D13" s="102"/>
      <c r="E13" s="102"/>
      <c r="F13" s="102"/>
      <c r="G13" s="102"/>
      <c r="H13" s="102"/>
      <c r="I13" s="102"/>
    </row>
    <row r="14" spans="1:10" s="103" customFormat="1" ht="14" customHeight="1">
      <c r="A14" s="104">
        <f t="shared" si="0"/>
        <v>0</v>
      </c>
      <c r="B14" s="105"/>
      <c r="C14" s="102"/>
      <c r="D14" s="102"/>
      <c r="E14" s="102"/>
      <c r="F14" s="102"/>
      <c r="G14" s="102"/>
      <c r="H14" s="102"/>
      <c r="I14" s="102"/>
    </row>
    <row r="15" spans="1:10" s="103" customFormat="1" ht="14" customHeight="1">
      <c r="A15" s="104">
        <f t="shared" si="0"/>
        <v>0</v>
      </c>
      <c r="B15" s="105"/>
      <c r="C15" s="102"/>
      <c r="D15" s="102"/>
      <c r="E15" s="102"/>
      <c r="F15" s="102"/>
      <c r="G15" s="102"/>
      <c r="H15" s="102"/>
      <c r="I15" s="102"/>
    </row>
    <row r="16" spans="1:10" s="103" customFormat="1" ht="14" customHeight="1">
      <c r="A16" s="104">
        <f t="shared" si="0"/>
        <v>0</v>
      </c>
      <c r="B16" s="105"/>
      <c r="C16" s="102"/>
      <c r="D16" s="102"/>
      <c r="E16" s="102"/>
      <c r="F16" s="102"/>
      <c r="G16" s="102"/>
      <c r="H16" s="102"/>
      <c r="I16" s="102"/>
    </row>
    <row r="17" spans="1:9" s="103" customFormat="1" ht="14" customHeight="1">
      <c r="A17" s="104">
        <f t="shared" si="0"/>
        <v>0</v>
      </c>
      <c r="B17" s="105"/>
      <c r="C17" s="102"/>
      <c r="D17" s="102"/>
      <c r="E17" s="102"/>
      <c r="F17" s="102"/>
      <c r="G17" s="102"/>
      <c r="H17" s="102"/>
      <c r="I17" s="102"/>
    </row>
    <row r="18" spans="1:9" s="103" customFormat="1" ht="14" customHeight="1">
      <c r="A18" s="104">
        <f t="shared" si="0"/>
        <v>0</v>
      </c>
      <c r="B18" s="105"/>
      <c r="C18" s="102"/>
      <c r="D18" s="102"/>
      <c r="E18" s="102"/>
      <c r="F18" s="102"/>
      <c r="G18" s="102"/>
      <c r="H18" s="102"/>
      <c r="I18" s="102"/>
    </row>
    <row r="19" spans="1:9" s="103" customFormat="1" ht="14" customHeight="1">
      <c r="A19" s="104">
        <f t="shared" si="0"/>
        <v>0</v>
      </c>
      <c r="B19" s="105"/>
      <c r="C19" s="102"/>
      <c r="D19" s="102"/>
      <c r="E19" s="102"/>
      <c r="F19" s="102"/>
      <c r="G19" s="102"/>
      <c r="H19" s="102"/>
      <c r="I19" s="102"/>
    </row>
    <row r="20" spans="1:9" s="103" customFormat="1" ht="14" customHeight="1">
      <c r="A20" s="104">
        <f t="shared" si="0"/>
        <v>0</v>
      </c>
      <c r="B20" s="105"/>
      <c r="C20" s="102"/>
      <c r="D20" s="102"/>
      <c r="E20" s="102"/>
      <c r="F20" s="102"/>
      <c r="G20" s="102"/>
      <c r="H20" s="102"/>
      <c r="I20" s="102"/>
    </row>
    <row r="21" spans="1:9" s="103" customFormat="1" ht="14" customHeight="1">
      <c r="A21" s="102"/>
      <c r="B21" s="102"/>
      <c r="C21" s="102"/>
      <c r="D21" s="102"/>
      <c r="E21" s="102"/>
      <c r="F21" s="102"/>
      <c r="G21" s="102"/>
      <c r="H21" s="102"/>
      <c r="I21" s="102"/>
    </row>
    <row r="22" spans="1:9" s="103" customFormat="1" ht="14" customHeight="1">
      <c r="A22" s="106" t="s">
        <v>251</v>
      </c>
      <c r="B22" s="102"/>
      <c r="C22" s="102"/>
      <c r="D22" s="102"/>
      <c r="E22" s="102"/>
      <c r="F22" s="102"/>
      <c r="G22" s="102"/>
      <c r="H22" s="102"/>
      <c r="I22" s="102"/>
    </row>
    <row r="23" spans="1:9" s="103" customFormat="1" ht="14" customHeight="1">
      <c r="A23" s="101" t="s">
        <v>222</v>
      </c>
      <c r="B23" s="101" t="s">
        <v>280</v>
      </c>
      <c r="C23" s="107" t="s">
        <v>281</v>
      </c>
      <c r="D23" s="108"/>
      <c r="E23" s="102" t="s">
        <v>282</v>
      </c>
      <c r="F23" s="102"/>
      <c r="G23" s="102"/>
      <c r="H23" s="102"/>
      <c r="I23" s="102"/>
    </row>
    <row r="24" spans="1:9" s="103" customFormat="1" ht="14" customHeight="1">
      <c r="A24" s="101" t="s">
        <v>283</v>
      </c>
      <c r="B24" s="101">
        <f>F7</f>
        <v>5975</v>
      </c>
      <c r="C24" s="101">
        <f>1</f>
        <v>1</v>
      </c>
      <c r="D24" s="101">
        <f t="shared" ref="D24:D34" si="1">B24*C24</f>
        <v>5975</v>
      </c>
      <c r="E24" s="102"/>
      <c r="F24" s="102"/>
      <c r="G24" s="102"/>
      <c r="H24" s="102"/>
      <c r="I24" s="102"/>
    </row>
    <row r="25" spans="1:9" s="103" customFormat="1" ht="14" customHeight="1">
      <c r="A25" s="104">
        <f t="shared" ref="A25:B34" si="2">A11</f>
        <v>-1</v>
      </c>
      <c r="B25" s="101">
        <f t="shared" si="2"/>
        <v>5398</v>
      </c>
      <c r="C25" s="101">
        <f t="shared" ref="C25:C34" si="3">IF(A25&lt;0,($F$6+A25)/$F$6,0)</f>
        <v>0.66666666666666663</v>
      </c>
      <c r="D25" s="101">
        <f t="shared" si="1"/>
        <v>3598.6666666666665</v>
      </c>
      <c r="E25" s="316">
        <f t="shared" ref="E25:E34" si="4">IF(A25&lt;0,B25/$F$6,0)</f>
        <v>1799.3333333333333</v>
      </c>
      <c r="F25" s="102"/>
      <c r="G25" s="102"/>
      <c r="H25" s="102"/>
      <c r="I25" s="102"/>
    </row>
    <row r="26" spans="1:9" s="103" customFormat="1" ht="14" customHeight="1">
      <c r="A26" s="104">
        <f t="shared" si="2"/>
        <v>-2</v>
      </c>
      <c r="B26" s="101">
        <f t="shared" si="2"/>
        <v>5625</v>
      </c>
      <c r="C26" s="101">
        <f t="shared" si="3"/>
        <v>0.33333333333333331</v>
      </c>
      <c r="D26" s="101">
        <f t="shared" si="1"/>
        <v>1875</v>
      </c>
      <c r="E26" s="316">
        <f t="shared" si="4"/>
        <v>1875</v>
      </c>
      <c r="F26" s="102"/>
      <c r="G26" s="102"/>
      <c r="H26" s="102"/>
      <c r="I26" s="102"/>
    </row>
    <row r="27" spans="1:9" s="103" customFormat="1" ht="14" customHeight="1">
      <c r="A27" s="104">
        <f t="shared" si="2"/>
        <v>-3</v>
      </c>
      <c r="B27" s="101">
        <f t="shared" si="2"/>
        <v>5455</v>
      </c>
      <c r="C27" s="101">
        <f t="shared" si="3"/>
        <v>0</v>
      </c>
      <c r="D27" s="101">
        <f t="shared" si="1"/>
        <v>0</v>
      </c>
      <c r="E27" s="316">
        <f t="shared" si="4"/>
        <v>1818.3333333333333</v>
      </c>
      <c r="F27" s="102"/>
      <c r="G27" s="102"/>
      <c r="H27" s="102"/>
      <c r="I27" s="102"/>
    </row>
    <row r="28" spans="1:9" s="103" customFormat="1" ht="14" customHeight="1">
      <c r="A28" s="104">
        <f t="shared" si="2"/>
        <v>0</v>
      </c>
      <c r="B28" s="101">
        <f t="shared" si="2"/>
        <v>0</v>
      </c>
      <c r="C28" s="101">
        <f t="shared" si="3"/>
        <v>0</v>
      </c>
      <c r="D28" s="101">
        <f t="shared" si="1"/>
        <v>0</v>
      </c>
      <c r="E28" s="316">
        <f t="shared" si="4"/>
        <v>0</v>
      </c>
      <c r="F28" s="102"/>
      <c r="G28" s="102"/>
      <c r="H28" s="102"/>
      <c r="I28" s="102"/>
    </row>
    <row r="29" spans="1:9" s="103" customFormat="1" ht="14" customHeight="1">
      <c r="A29" s="104">
        <f t="shared" si="2"/>
        <v>0</v>
      </c>
      <c r="B29" s="101">
        <f t="shared" si="2"/>
        <v>0</v>
      </c>
      <c r="C29" s="101">
        <f t="shared" si="3"/>
        <v>0</v>
      </c>
      <c r="D29" s="101">
        <f t="shared" si="1"/>
        <v>0</v>
      </c>
      <c r="E29" s="316">
        <f t="shared" si="4"/>
        <v>0</v>
      </c>
      <c r="F29" s="102"/>
      <c r="G29" s="102"/>
      <c r="H29" s="102"/>
      <c r="I29" s="102"/>
    </row>
    <row r="30" spans="1:9" s="103" customFormat="1" ht="14" customHeight="1">
      <c r="A30" s="104">
        <f t="shared" si="2"/>
        <v>0</v>
      </c>
      <c r="B30" s="101">
        <f t="shared" si="2"/>
        <v>0</v>
      </c>
      <c r="C30" s="101">
        <f t="shared" si="3"/>
        <v>0</v>
      </c>
      <c r="D30" s="101">
        <f t="shared" si="1"/>
        <v>0</v>
      </c>
      <c r="E30" s="316">
        <f t="shared" si="4"/>
        <v>0</v>
      </c>
      <c r="F30" s="102"/>
      <c r="G30" s="102"/>
      <c r="H30" s="102"/>
      <c r="I30" s="102"/>
    </row>
    <row r="31" spans="1:9" s="103" customFormat="1" ht="14" customHeight="1">
      <c r="A31" s="104">
        <f t="shared" si="2"/>
        <v>0</v>
      </c>
      <c r="B31" s="101">
        <f t="shared" si="2"/>
        <v>0</v>
      </c>
      <c r="C31" s="101">
        <f t="shared" si="3"/>
        <v>0</v>
      </c>
      <c r="D31" s="101">
        <f t="shared" si="1"/>
        <v>0</v>
      </c>
      <c r="E31" s="316">
        <f t="shared" si="4"/>
        <v>0</v>
      </c>
      <c r="F31" s="102"/>
      <c r="G31" s="102"/>
      <c r="H31" s="102"/>
      <c r="I31" s="102"/>
    </row>
    <row r="32" spans="1:9" s="103" customFormat="1" ht="14" customHeight="1">
      <c r="A32" s="104">
        <f t="shared" si="2"/>
        <v>0</v>
      </c>
      <c r="B32" s="101">
        <f t="shared" si="2"/>
        <v>0</v>
      </c>
      <c r="C32" s="101">
        <f t="shared" si="3"/>
        <v>0</v>
      </c>
      <c r="D32" s="101">
        <f t="shared" si="1"/>
        <v>0</v>
      </c>
      <c r="E32" s="316">
        <f t="shared" si="4"/>
        <v>0</v>
      </c>
      <c r="F32" s="102"/>
      <c r="G32" s="102"/>
      <c r="H32" s="102"/>
      <c r="I32" s="102"/>
    </row>
    <row r="33" spans="1:9" s="103" customFormat="1" ht="14" customHeight="1">
      <c r="A33" s="104">
        <f t="shared" si="2"/>
        <v>0</v>
      </c>
      <c r="B33" s="101">
        <f t="shared" si="2"/>
        <v>0</v>
      </c>
      <c r="C33" s="101">
        <f t="shared" si="3"/>
        <v>0</v>
      </c>
      <c r="D33" s="101">
        <f t="shared" si="1"/>
        <v>0</v>
      </c>
      <c r="E33" s="316">
        <f t="shared" si="4"/>
        <v>0</v>
      </c>
      <c r="F33" s="102"/>
      <c r="G33" s="102"/>
      <c r="H33" s="102"/>
      <c r="I33" s="102"/>
    </row>
    <row r="34" spans="1:9" s="103" customFormat="1" ht="16" customHeight="1" thickBot="1">
      <c r="A34" s="104">
        <f t="shared" si="2"/>
        <v>0</v>
      </c>
      <c r="B34" s="101">
        <f t="shared" si="2"/>
        <v>0</v>
      </c>
      <c r="C34" s="101">
        <f t="shared" si="3"/>
        <v>0</v>
      </c>
      <c r="D34" s="109">
        <f t="shared" si="1"/>
        <v>0</v>
      </c>
      <c r="E34" s="317">
        <f t="shared" si="4"/>
        <v>0</v>
      </c>
      <c r="F34" s="102"/>
      <c r="G34" s="102"/>
      <c r="H34" s="102"/>
      <c r="I34" s="102"/>
    </row>
    <row r="35" spans="1:9" s="56" customFormat="1" ht="15" customHeight="1" thickBot="1">
      <c r="A35" s="56" t="s">
        <v>284</v>
      </c>
      <c r="D35" s="318">
        <f>SUM(D24:D34)</f>
        <v>11448.666666666666</v>
      </c>
      <c r="E35" s="319">
        <f>SUM(E25:E34)</f>
        <v>5492.6666666666661</v>
      </c>
    </row>
    <row r="36" spans="1:9" ht="14" customHeight="1" thickBot="1"/>
    <row r="37" spans="1:9" s="56" customFormat="1" ht="15" customHeight="1" thickBot="1">
      <c r="A37" s="56" t="s">
        <v>285</v>
      </c>
      <c r="D37" s="318">
        <f>E35</f>
        <v>5492.6666666666661</v>
      </c>
    </row>
    <row r="38" spans="1:9" s="56" customFormat="1" ht="15" customHeight="1" thickBot="1"/>
    <row r="39" spans="1:9" s="56" customFormat="1" ht="14" customHeight="1">
      <c r="A39" s="56" t="s">
        <v>286</v>
      </c>
      <c r="D39" s="320">
        <f>F7-D37</f>
        <v>482.33333333333394</v>
      </c>
      <c r="E39" s="56" t="s">
        <v>287</v>
      </c>
    </row>
    <row r="40" spans="1:9" ht="14" customHeight="1">
      <c r="A40" t="s">
        <v>288</v>
      </c>
      <c r="D40" s="321">
        <f>D39*'Input sheet'!B21</f>
        <v>120.58333333333348</v>
      </c>
      <c r="E40" s="56"/>
    </row>
  </sheetData>
  <conditionalFormatting sqref="B11:B20">
    <cfRule type="cellIs" dxfId="0" priority="1" stopIfTrue="1" operator="equal">
      <formula>0</formula>
    </cfRule>
  </conditionalFormatting>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Input sheet</vt:lpstr>
      <vt:lpstr>Valuation output</vt:lpstr>
      <vt:lpstr>Revenue Research</vt:lpstr>
      <vt:lpstr>Stories to Numbers</vt:lpstr>
      <vt:lpstr>Trailing 12 month</vt:lpstr>
      <vt:lpstr>Diagnostics</vt:lpstr>
      <vt:lpstr>Summary Sheet</vt:lpstr>
      <vt:lpstr>Operating lease converter</vt:lpstr>
      <vt:lpstr>R&amp;D converter</vt:lpstr>
      <vt:lpstr>Option value</vt:lpstr>
      <vt:lpstr>Cost of capital worksheet</vt:lpstr>
      <vt:lpstr>Country equity risk premiums</vt:lpstr>
      <vt:lpstr>Synthetic rating</vt:lpstr>
      <vt:lpstr>Industry Average Beta (US)</vt:lpstr>
      <vt:lpstr>Industry Average Beta (Global)</vt:lpstr>
      <vt:lpstr>Answer keys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Aswath Damodaran</dc:creator>
  <cp:lastModifiedBy>Victor Sung</cp:lastModifiedBy>
  <cp:lastPrinted>2011-01-17T15:04:26Z</cp:lastPrinted>
  <dcterms:created xsi:type="dcterms:W3CDTF">2000-02-22T13:53:50Z</dcterms:created>
  <dcterms:modified xsi:type="dcterms:W3CDTF">2021-01-17T19:33:33Z</dcterms:modified>
</cp:coreProperties>
</file>