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b3a4085e330cabbd/Desktop/Moden Approach in Data Design/"/>
    </mc:Choice>
  </mc:AlternateContent>
  <xr:revisionPtr revIDLastSave="0" documentId="8_{8A57178E-AEA8-4937-B776-C79D5706A48C}" xr6:coauthVersionLast="47" xr6:coauthVersionMax="47" xr10:uidLastSave="{00000000-0000-0000-0000-000000000000}"/>
  <bookViews>
    <workbookView xWindow="-120" yWindow="-120" windowWidth="20730" windowHeight="11160" firstSheet="8" activeTab="14" xr2:uid="{5BBF3846-4C6D-4871-B649-C959D40EA238}"/>
  </bookViews>
  <sheets>
    <sheet name="Brands per Supplier" sheetId="3" r:id="rId1"/>
    <sheet name="HealthMax Growth" sheetId="4" r:id="rId2"/>
    <sheet name="MAT Value Total Category" sheetId="6" r:id="rId3"/>
    <sheet name="Market Share" sheetId="7" r:id="rId4"/>
    <sheet name="External Data" sheetId="2" r:id="rId5"/>
    <sheet name="Profitability Matrix" sheetId="9" r:id="rId6"/>
    <sheet name="Internal Sales Data" sheetId="8" r:id="rId7"/>
    <sheet name="New Category Opportunity" sheetId="10" r:id="rId8"/>
    <sheet name="Organic Shampoo Launch" sheetId="11" r:id="rId9"/>
    <sheet name="50ml Shampoo 2024" sheetId="12" r:id="rId10"/>
    <sheet name="Promotion Analysis" sheetId="15" r:id="rId11"/>
    <sheet name="Promotion Graph" sheetId="14" r:id="rId12"/>
    <sheet name="Forecast 2024" sheetId="18" r:id="rId13"/>
    <sheet name="Sales until 2022" sheetId="16" r:id="rId14"/>
    <sheet name="Waterfall" sheetId="19" r:id="rId15"/>
  </sheets>
  <definedNames>
    <definedName name="_xlchart.v1.0" hidden="1">Waterfall!$A$1:$E$1</definedName>
    <definedName name="_xlchart.v1.1" hidden="1">Waterfall!$A$2:$E$2</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9" l="1"/>
  <c r="E2" i="19"/>
  <c r="C2" i="19"/>
  <c r="B2" i="19"/>
  <c r="A2" i="19"/>
  <c r="G6" i="18"/>
  <c r="F6" i="18"/>
  <c r="G3" i="15"/>
  <c r="G4" i="15"/>
  <c r="G2" i="15"/>
  <c r="F3" i="15"/>
  <c r="F4" i="15"/>
  <c r="F2" i="15"/>
  <c r="H12" i="12"/>
  <c r="I12" i="12" s="1"/>
  <c r="E12" i="12"/>
  <c r="M12" i="12" s="1"/>
  <c r="D12" i="12"/>
  <c r="J12" i="12"/>
  <c r="M3" i="12"/>
  <c r="M4" i="12"/>
  <c r="M5" i="12"/>
  <c r="M6" i="12"/>
  <c r="M7" i="12"/>
  <c r="M8" i="12"/>
  <c r="M9" i="12"/>
  <c r="M10" i="12"/>
  <c r="M11" i="12"/>
  <c r="M2" i="12"/>
  <c r="J11" i="12"/>
  <c r="L11" i="12" s="1"/>
  <c r="I11" i="12"/>
  <c r="J10" i="12"/>
  <c r="L10" i="12" s="1"/>
  <c r="I10" i="12"/>
  <c r="J9" i="12"/>
  <c r="K9" i="12" s="1"/>
  <c r="I9" i="12"/>
  <c r="L8" i="12"/>
  <c r="J8" i="12"/>
  <c r="K8" i="12" s="1"/>
  <c r="I8" i="12"/>
  <c r="J7" i="12"/>
  <c r="L7" i="12" s="1"/>
  <c r="I7" i="12"/>
  <c r="J6" i="12"/>
  <c r="L6" i="12" s="1"/>
  <c r="I6" i="12"/>
  <c r="L5" i="12"/>
  <c r="J5" i="12"/>
  <c r="K5" i="12" s="1"/>
  <c r="I5" i="12"/>
  <c r="J4" i="12"/>
  <c r="L4" i="12" s="1"/>
  <c r="I4" i="12"/>
  <c r="J3" i="12"/>
  <c r="L3" i="12" s="1"/>
  <c r="I3" i="12"/>
  <c r="J2" i="12"/>
  <c r="L2" i="12" s="1"/>
  <c r="I2" i="12"/>
  <c r="G3" i="11"/>
  <c r="G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C7" i="18"/>
  <c r="C8" i="18"/>
  <c r="E7" i="18"/>
  <c r="D7" i="18"/>
  <c r="E8" i="18"/>
  <c r="D8" i="18"/>
  <c r="H2" i="15" l="1"/>
  <c r="J2" i="15" s="1"/>
  <c r="H4" i="15"/>
  <c r="J4" i="15" s="1"/>
  <c r="H3" i="15"/>
  <c r="J3" i="15" s="1"/>
  <c r="F8" i="18"/>
  <c r="F7" i="18"/>
  <c r="C3" i="11"/>
  <c r="C2" i="11"/>
  <c r="K12" i="12"/>
  <c r="L9" i="12"/>
  <c r="L12" i="12"/>
  <c r="K4" i="12"/>
  <c r="K6" i="12"/>
  <c r="K2" i="12"/>
  <c r="K10" i="12"/>
  <c r="K3" i="12"/>
  <c r="K11" i="12"/>
  <c r="K7" i="12"/>
  <c r="K11" i="8"/>
  <c r="L9" i="8"/>
  <c r="K8" i="8"/>
  <c r="K7" i="8"/>
  <c r="L6" i="8"/>
  <c r="K3" i="8"/>
  <c r="L5" i="8"/>
  <c r="L2" i="8"/>
  <c r="L10" i="8"/>
  <c r="K12" i="8"/>
  <c r="L12" i="8" s="1"/>
  <c r="I12" i="8"/>
  <c r="E2" i="11" l="1"/>
  <c r="H2" i="11"/>
  <c r="I2" i="11" s="1"/>
  <c r="E3" i="11"/>
  <c r="H3" i="11"/>
  <c r="I3" i="11" l="1"/>
</calcChain>
</file>

<file path=xl/sharedStrings.xml><?xml version="1.0" encoding="utf-8"?>
<sst xmlns="http://schemas.openxmlformats.org/spreadsheetml/2006/main" count="22434" uniqueCount="127">
  <si>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</si>
  <si>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</si>
  <si>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</si>
  <si>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</si>
  <si>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</si>
  <si>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</si>
  <si>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</si>
  <si>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</si>
  <si>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</si>
  <si>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</si>
  <si>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</si>
  <si>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</si>
  <si>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</si>
  <si>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</si>
  <si>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</si>
  <si>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</si>
  <si>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</si>
  <si>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</si>
  <si>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</si>
  <si>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</si>
  <si>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</si>
  <si>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</si>
  <si>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</si>
  <si>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</si>
  <si>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</si>
  <si>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</si>
  <si>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</si>
  <si>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</si>
  <si>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</si>
  <si>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</si>
  <si>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</si>
  <si>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</si>
  <si>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</si>
  <si>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</si>
  <si>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</si>
  <si>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</si>
  <si>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</si>
  <si>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</si>
  <si>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</si>
  <si>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</si>
  <si>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</si>
  <si>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</si>
  <si>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</si>
  <si>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</si>
  <si>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</si>
  <si>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</si>
  <si>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</si>
  <si>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</si>
  <si>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</si>
  <si>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</si>
  <si>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</si>
  <si>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</si>
  <si>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</si>
  <si>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</si>
  <si>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</si>
  <si>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</si>
  <si>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</si>
  <si>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</si>
  <si>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</si>
  <si>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</si>
  <si>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</si>
  <si>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</si>
  <si>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</si>
  <si>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</si>
  <si>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</si>
  <si>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</si>
  <si>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</si>
  <si>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</si>
  <si>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</si>
  <si>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</si>
  <si>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</si>
  <si>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</si>
  <si>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</si>
  <si>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</si>
  <si>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</si>
  <si>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</si>
  <si>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</si>
  <si>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</si>
  <si>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</si>
  <si>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</si>
  <si>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</si>
  <si>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</si>
  <si>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</si>
  <si>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</si>
  <si>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</si>
  <si>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</si>
  <si>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</si>
  <si>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</si>
  <si>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</si>
  <si>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</si>
  <si>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</si>
  <si>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</si>
  <si>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</si>
  <si>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</si>
  <si>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</si>
  <si>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</si>
  <si>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</si>
  <si>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</si>
  <si>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</si>
  <si>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Estimated Unit Market Share</t>
  </si>
  <si>
    <t>Estimated units sold 2024</t>
  </si>
  <si>
    <t>Net Sales</t>
  </si>
  <si>
    <t>Price per ML</t>
  </si>
  <si>
    <t xml:space="preserve">Promotion </t>
  </si>
  <si>
    <t>Mechanism</t>
  </si>
  <si>
    <t>Value sales</t>
  </si>
  <si>
    <t xml:space="preserve">Baseline sales </t>
  </si>
  <si>
    <t>Uplift</t>
  </si>
  <si>
    <t>ROI</t>
  </si>
  <si>
    <t>Buy 2, get 1 free</t>
  </si>
  <si>
    <t>Buy 2, get 20% off</t>
  </si>
  <si>
    <t>2nd at 50% off</t>
  </si>
  <si>
    <t>Timeline</t>
  </si>
  <si>
    <t>Values</t>
  </si>
  <si>
    <t>Forecast</t>
  </si>
  <si>
    <t>Lower Confidence Bound</t>
  </si>
  <si>
    <t>Upper Confidence Bound</t>
  </si>
  <si>
    <t>Ratio</t>
  </si>
  <si>
    <t>Estimated Net Sales 2023</t>
  </si>
  <si>
    <t>Organic shampoo</t>
  </si>
  <si>
    <t>Net Sales 2022</t>
  </si>
  <si>
    <t>Estimated Net Sales 2024</t>
  </si>
  <si>
    <t>Natural growth</t>
  </si>
  <si>
    <t>Cost</t>
  </si>
  <si>
    <t>HerbEssentials</t>
  </si>
  <si>
    <t>Herbashine</t>
  </si>
  <si>
    <t>50ml shampoo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</si>
</sst>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_-[$$-409]* #,##0.000_ ;_-[$$-409]* \-#,##0.000\ ;_-[$$-409]* &quot;-&quot;??_ ;_-@_ "/>
    <numFmt numFmtId="172" formatCode="_([$$-409]* #,##0.00_);_([$$-409]* \(#,##0.00\);_([$$-409]* &quot;-&quot;??_);_(@_)"/>
    <numFmt numFmtId="173" formatCode="_([$$-409]* #,##0_);_([$$-409]* \(#,##0\);_([$$-409]*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164" fontId="0" fillId="0" borderId="0" xfId="1" applyFont="1"/>
    <xf numFmtId="167" fontId="0" fillId="0" borderId="0" xfId="2" applyNumberFormat="1" applyFont="1"/>
    <xf numFmtId="167" fontId="0" fillId="0" borderId="0" xfId="0" applyNumberFormat="1"/>
    <xf numFmtId="168" fontId="0" fillId="0" borderId="0" xfId="0" applyNumberFormat="1"/>
    <xf numFmtId="169" fontId="0" fillId="0" borderId="0" xfId="1" applyNumberFormat="1" applyFont="1"/>
    <xf numFmtId="169" fontId="0" fillId="0" borderId="0" xfId="0" applyNumberForma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71" fontId="0" fillId="0" borderId="0" xfId="3" applyNumberFormat="1" applyFont="1"/>
    <xf numFmtId="173" fontId="0" fillId="0" borderId="0" xfId="1" applyNumberFormat="1" applyFont="1"/>
    <xf numFmtId="172" fontId="0" fillId="0" borderId="0" xfId="0" applyNumberFormat="1"/>
  </cellXfs>
  <cellStyles count="4">
    <cellStyle name="Comma" xfId="2" builtinId="3"/>
    <cellStyle name="Currency" xfId="1" builtinId="4"/>
    <cellStyle name="Normal" xfId="0" builtinId="0"/>
    <cellStyle name="Percent" xfId="3" builtinId="5"/>
  </cellStyles>
  <dxfs count="74">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72" formatCode="_([$$-409]* #,##0.00_);_([$$-409]* \(#,##0.00\);_([$$-409]* &quot;-&quot;??_);_(@_)"/>
    </dxf>
    <dxf>
      <numFmt numFmtId="0" formatCode="General"/>
    </dxf>
    <dxf>
      <numFmt numFmtId="173" formatCode="_([$$-409]* #,##0_);_([$$-409]* \(#,##0\);_([$$-409]* &quot;-&quot;??_);_(@_)"/>
    </dxf>
    <dxf>
      <numFmt numFmtId="173" formatCode="_([$$-409]* #,##0_);_([$$-409]* \(#,##0\);_([$$-409]* &quot;-&quot;??_);_(@_)"/>
    </dxf>
    <dxf>
      <numFmt numFmtId="173" formatCode="_([$$-409]* #,##0_);_([$$-409]* \(#,##0\);_([$$-409]* &quot;-&quot;??_);_(@_)"/>
    </dxf>
    <dxf>
      <numFmt numFmtId="0" formatCode="General"/>
    </dxf>
    <dxf>
      <numFmt numFmtId="0" formatCode="General"/>
    </dxf>
    <dxf>
      <numFmt numFmtId="171" formatCode="_-[$$-409]* #,##0.000_ ;_-[$$-409]* \-#,##0.000\ ;_-[$$-409]* &quot;-&quot;??_ ;_-@_ "/>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3" formatCode="0%"/>
    </dxf>
    <dxf>
      <numFmt numFmtId="14" formatCode="0.00%"/>
    </dxf>
    <dxf>
      <numFmt numFmtId="167" formatCode="_ * #,##0_ ;_ * \-#,##0_ ;_ * &quot;-&quot;??_ ;_ @_ "/>
    </dxf>
    <dxf>
      <numFmt numFmtId="13" formatCode="0%"/>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Report.xlsx]Market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Report.xlsx]Promotion Graph!PivotTable2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#,##0.00_);_([$$-409]* \(#,##0.00\);_([$$-409]* "-"??_);_(@_)</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A9FB-4202-9F8F-F31BB0B8F77F}"/>
            </c:ext>
          </c:extLst>
        </c:ser>
        <c:dLbls>
          <c:showLegendKey val="0"/>
          <c:showVal val="0"/>
          <c:showCatName val="0"/>
          <c:showSerName val="0"/>
          <c:showPercent val="0"/>
          <c:showBubbleSize val="0"/>
        </c:dLbls>
        <c:smooth val="0"/>
        <c:axId val="14221615"/>
        <c:axId val="645222512"/>
      </c:lineChart>
      <c:catAx>
        <c:axId val="1422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645222512"/>
        <c:crosses val="autoZero"/>
        <c:auto val="1"/>
        <c:lblAlgn val="ctr"/>
        <c:lblOffset val="100"/>
        <c:noMultiLvlLbl val="0"/>
      </c:catAx>
      <c:valAx>
        <c:axId val="64522251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21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13155675360402"/>
          <c:y val="4.109315880969424E-2"/>
          <c:w val="0.84885042522837795"/>
          <c:h val="0.7529290656849712"/>
        </c:manualLayout>
      </c:layout>
      <c:lineChart>
        <c:grouping val="standard"/>
        <c:varyColors val="0"/>
        <c:ser>
          <c:idx val="0"/>
          <c:order val="0"/>
          <c:tx>
            <c:strRef>
              <c:f>'Forecast 2024'!$B$1</c:f>
              <c:strCache>
                <c:ptCount val="1"/>
                <c:pt idx="0">
                  <c:v>Values</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66F-44B5-98A5-BA80B8B560E1}"/>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C66F-44B5-98A5-BA80B8B560E1}"/>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C66F-44B5-98A5-BA80B8B560E1}"/>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C66F-44B5-98A5-BA80B8B560E1}"/>
            </c:ext>
          </c:extLst>
        </c:ser>
        <c:dLbls>
          <c:showLegendKey val="0"/>
          <c:showVal val="0"/>
          <c:showCatName val="0"/>
          <c:showSerName val="0"/>
          <c:showPercent val="0"/>
          <c:showBubbleSize val="0"/>
        </c:dLbls>
        <c:smooth val="0"/>
        <c:axId val="492053935"/>
        <c:axId val="1847858159"/>
      </c:lineChart>
      <c:catAx>
        <c:axId val="49205393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847858159"/>
        <c:crosses val="autoZero"/>
        <c:auto val="1"/>
        <c:lblAlgn val="ctr"/>
        <c:lblOffset val="100"/>
        <c:noMultiLvlLbl val="0"/>
      </c:catAx>
      <c:valAx>
        <c:axId val="184785815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492053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7D285692-D963-429D-A11A-6B65442C7DA8}">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76200</xdr:colOff>
      <xdr:row>1</xdr:row>
      <xdr:rowOff>109537</xdr:rowOff>
    </xdr:from>
    <xdr:to>
      <xdr:col>14</xdr:col>
      <xdr:colOff>19050</xdr:colOff>
      <xdr:row>23</xdr:row>
      <xdr:rowOff>180975</xdr:rowOff>
    </xdr:to>
    <xdr:graphicFrame macro="">
      <xdr:nvGraphicFramePr>
        <xdr:cNvPr id="2" name="Chart 1">
          <a:extLst>
            <a:ext uri="{FF2B5EF4-FFF2-40B4-BE49-F238E27FC236}">
              <a16:creationId xmlns:a16="http://schemas.microsoft.com/office/drawing/2014/main" id="{9CB45887-FB9D-38B7-8B89-9F603A18C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904875</xdr:colOff>
      <xdr:row>11</xdr:row>
      <xdr:rowOff>166687</xdr:rowOff>
    </xdr:from>
    <xdr:to>
      <xdr:col>13</xdr:col>
      <xdr:colOff>466725</xdr:colOff>
      <xdr:row>27</xdr:row>
      <xdr:rowOff>52387</xdr:rowOff>
    </xdr:to>
    <xdr:graphicFrame macro="">
      <xdr:nvGraphicFramePr>
        <xdr:cNvPr id="2" name="Chart 1">
          <a:extLst>
            <a:ext uri="{FF2B5EF4-FFF2-40B4-BE49-F238E27FC236}">
              <a16:creationId xmlns:a16="http://schemas.microsoft.com/office/drawing/2014/main" id="{17FF299D-07D0-7BCD-B512-D070847EF7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600074</xdr:colOff>
      <xdr:row>4</xdr:row>
      <xdr:rowOff>14286</xdr:rowOff>
    </xdr:from>
    <xdr:to>
      <xdr:col>15</xdr:col>
      <xdr:colOff>66674</xdr:colOff>
      <xdr:row>30</xdr:row>
      <xdr:rowOff>142875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FD4E82F-3278-AAFB-3097-A843635AEF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62174" y="776286"/>
              <a:ext cx="10372725" cy="50815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7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72">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42">
      <pivotArea outline="0" fieldPosition="0">
        <references count="1">
          <reference field="4294967294" count="1">
            <x v="0"/>
          </reference>
        </references>
      </pivotArea>
    </format>
    <format dxfId="41">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44">
      <pivotArea outline="0" collapsedLevelsAreSubtotals="1" fieldPosition="0">
        <references count="1">
          <reference field="5" count="1" selected="0">
            <x v="4"/>
          </reference>
        </references>
      </pivotArea>
    </format>
    <format dxfId="4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A4CBB6-8320-44A2-976F-1CC99CC2674E}"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Sum of Values Month" fld="8" baseField="0" baseItem="0" numFmtId="172"/>
  </dataFields>
  <formats count="1">
    <format dxfId="7">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EA31D-A205-45E3-BC5D-7C2B8D29130F}"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dataFields>
  <formats count="1">
    <format dxfId="0">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71"/>
    <tableColumn id="2" xr3:uid="{E62B3F1F-9A15-44B4-B1DD-CAF27CF3C747}" name="Subcategory" dataDxfId="70"/>
    <tableColumn id="3" xr3:uid="{FA4BBA42-4CD5-4FEC-99C8-F3DEA363596F}" name="Supplier" dataDxfId="69"/>
    <tableColumn id="4" xr3:uid="{363950AD-92F1-4B62-BAD5-6C6ED9D314C8}" name="Brand" dataDxfId="68"/>
    <tableColumn id="5" xr3:uid="{278D3098-9E4F-422C-8E1A-9941BBC3EF43}" name="Region" dataDxfId="67"/>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66"/>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65"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64">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62"/>
    <tableColumn id="2" xr3:uid="{025C4312-31D3-409B-B984-DBF4AEFE2FA6}" name="Product" dataDxfId="61"/>
    <tableColumn id="3" xr3:uid="{D40B8F72-DA12-4584-B326-495AA00C251F}" name="Pack Size (ml)"/>
    <tableColumn id="4" xr3:uid="{E106DA15-1281-4518-AE4A-C358C1924FEA}" name="ProductID" dataDxfId="60"/>
    <tableColumn id="5" xr3:uid="{AE844CDE-AAF3-4312-96B5-E0534EF567F3}" name="Retail Price" dataDxfId="59" totalsRowDxfId="58" dataCellStyle="Currency"/>
    <tableColumn id="6" xr3:uid="{732BB0A7-0D20-404F-B2AF-EC6A28C2A71A}" name="Net Price" dataDxfId="57" totalsRowDxfId="56" dataCellStyle="Currency"/>
    <tableColumn id="7" xr3:uid="{BB7F7A5B-FAB9-4038-AD33-08EE0D4766AD}" name="COGS" dataDxfId="55" totalsRowDxfId="54" dataCellStyle="Currency"/>
    <tableColumn id="8" xr3:uid="{CCF364DE-01EF-4200-AB41-ED9058D076B5}" name="Volume 2022" totalsRowFunction="sum" dataDxfId="53" totalsRowDxfId="52" dataCellStyle="Comma"/>
    <tableColumn id="10" xr3:uid="{08E3A2F7-3C74-49D9-91B9-79AD4050A4A7}" name="Net Sales 2022" totalsRowFunction="sum" dataDxfId="51" totalsRowDxfId="50" dataCellStyle="Currency">
      <calculatedColumnFormula>internal_sales_data[[#This Row],[Volume 2022]]*internal_sales_data[[#This Row],[Net Price]]</calculatedColumnFormula>
    </tableColumn>
    <tableColumn id="9" xr3:uid="{3C283A83-C2B7-4006-B2BA-AFEDB11C31BE}" name="Gross Profit per unit" dataDxfId="49" totalsRowDxfId="48" dataCellStyle="Currency">
      <calculatedColumnFormula>internal_sales_data[[#This Row],[Net Price]]-internal_sales_data[[#This Row],[COGS]]</calculatedColumnFormula>
    </tableColumn>
    <tableColumn id="11" xr3:uid="{7C588C62-85DC-41E9-81C4-648DF71F5B17}" name="Gross Profit per product" totalsRowFunction="sum" dataDxfId="47" totalsRowDxfId="46" dataCellStyle="Currency">
      <calculatedColumnFormula>internal_sales_data[[#This Row],[Gross Profit per unit]]*internal_sales_data[[#This Row],[Volume 2022]]</calculatedColumnFormula>
    </tableColumn>
    <tableColumn id="12" xr3:uid="{2911D992-F8E1-40DE-AFC8-9AF339130FCA}" name="Gross Margin" totalsRowFunction="custom" totalsRowDxfId="45"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40"/>
    <tableColumn id="2" xr3:uid="{6AE352D5-6C16-4164-8AC0-45FA1FF286BF}" name="Estimated Unit Market Share" dataCellStyle="Percent"/>
    <tableColumn id="3" xr3:uid="{31AA58DE-DB16-4AD7-9EE2-3FBD593D8486}" name="Estimated units sold 2024" dataDxfId="39" dataCellStyle="Comma">
      <calculatedColumnFormula>new_product_launch[[#This Row],[Estimated Unit Market Share]]*'New Category Opportunity'!$B$18</calculatedColumnFormula>
    </tableColumn>
    <tableColumn id="4" xr3:uid="{983BA861-9FD5-40BD-BAD6-5572FA3B9563}" name="Net Price" dataDxfId="38"/>
    <tableColumn id="5" xr3:uid="{8197C623-3CF8-4E81-AD27-88ADB9A58EE4}" name="Net Sales" dataDxfId="37">
      <calculatedColumnFormula>new_product_launch[[#This Row],[Net Price]]*new_product_launch[[#This Row],[Estimated units sold 2024]]</calculatedColumnFormula>
    </tableColumn>
    <tableColumn id="6" xr3:uid="{0813BA88-04DC-44D1-BBDD-F8260333BD3F}" name="COGS" dataDxfId="36"/>
    <tableColumn id="7" xr3:uid="{0BDC181A-386D-45F3-8640-F0B86C17865D}" name="Gross Profit per unit" dataDxfId="35">
      <calculatedColumnFormula>new_product_launch[[#This Row],[Net Price]]-new_product_launch[[#This Row],[COGS]]</calculatedColumnFormula>
    </tableColumn>
    <tableColumn id="8" xr3:uid="{C9FE25C5-9CBC-4262-8F58-9FAD1AFE1F38}" name="Gross Profit per product" dataDxfId="34" dataCellStyle="Comma">
      <calculatedColumnFormula>new_product_launch[[#This Row],[Gross Profit per unit]]*new_product_launch[[#This Row],[Estimated units sold 2024]]</calculatedColumnFormula>
    </tableColumn>
    <tableColumn id="9" xr3:uid="{7B898487-076D-4DC9-AC86-FE42D0850365}" name="Gross Margin" dataDxfId="33">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834D3F-3692-4F81-A0B6-F3A47692DDA8}" name="internal_sales_data5" displayName="internal_sales_data5" ref="A1:M12">
  <autoFilter ref="A1:M12" xr:uid="{04364B77-531F-4E7F-8C97-717C91709596}"/>
  <tableColumns count="13">
    <tableColumn id="1" xr3:uid="{01E183D9-AEF8-479C-B911-354EA88031A9}" name="Brand" totalsRowLabel="Total" dataDxfId="32"/>
    <tableColumn id="2" xr3:uid="{FAE7BF1E-D3B2-4767-B266-2B8270F3696C}" name="Product" dataDxfId="31"/>
    <tableColumn id="3" xr3:uid="{5A2D09FD-4038-4B54-B533-EFDB32DD1546}" name="Pack Size (ml)"/>
    <tableColumn id="4" xr3:uid="{B6E0B462-3954-414F-96BC-4A9A1E45F237}" name="ProductID" dataDxfId="30"/>
    <tableColumn id="5" xr3:uid="{A6C19464-69C2-4CF6-86FD-2DFC3C8BE682}" name="Retail Price" dataDxfId="29" totalsRowDxfId="28" dataCellStyle="Currency"/>
    <tableColumn id="6" xr3:uid="{F8166C40-CCF9-4D5A-991F-14A3DDE3FC7F}" name="Net Price" dataDxfId="27" totalsRowDxfId="26" dataCellStyle="Currency"/>
    <tableColumn id="7" xr3:uid="{9860B665-293D-4A43-A98E-0AAA70D26C13}" name="COGS" dataDxfId="25" totalsRowDxfId="24" dataCellStyle="Currency"/>
    <tableColumn id="8" xr3:uid="{683E31B5-9570-4041-8F3B-F7C43CD93243}" name="Volume 2022" totalsRowFunction="sum" dataDxfId="23" totalsRowDxfId="22" dataCellStyle="Comma"/>
    <tableColumn id="10" xr3:uid="{17710796-45DE-498A-B84A-F197DA71F214}" name="Net Sales 2022" totalsRowFunction="sum" dataDxfId="21" totalsRowDxfId="20" dataCellStyle="Currency">
      <calculatedColumnFormula>internal_sales_data5[[#This Row],[Volume 2022]]*internal_sales_data5[[#This Row],[Net Price]]</calculatedColumnFormula>
    </tableColumn>
    <tableColumn id="9" xr3:uid="{5DE58021-15DC-4013-86B1-6FE9C31F7787}" name="Gross Profit per unit" dataDxfId="19" totalsRowDxfId="18" dataCellStyle="Currency">
      <calculatedColumnFormula>internal_sales_data5[[#This Row],[Net Price]]-internal_sales_data5[[#This Row],[COGS]]</calculatedColumnFormula>
    </tableColumn>
    <tableColumn id="11" xr3:uid="{6BF3B56E-CE08-4DFA-AE34-BC12278250B4}" name="Gross Profit per product" totalsRowFunction="sum" dataDxfId="17" totalsRowDxfId="16" dataCellStyle="Currency">
      <calculatedColumnFormula>internal_sales_data5[[#This Row],[Gross Profit per unit]]*internal_sales_data5[[#This Row],[Volume 2022]]</calculatedColumnFormula>
    </tableColumn>
    <tableColumn id="12" xr3:uid="{E538B08D-0849-4B66-A466-03FDB4ED16F2}" name="Gross Margin" totalsRowFunction="custom" totalsRowDxfId="15" dataCellStyle="Percent">
      <calculatedColumnFormula>internal_sales_data5[[#This Row],[Gross Profit per unit]]/internal_sales_data5[[#This Row],[Net Price]]</calculatedColumnFormula>
      <totalsRowFormula>internal_sales_data5[[#Totals],[Gross Profit per product]]/internal_sales_data5[[#Totals],[Net Sales 2022]]</totalsRowFormula>
    </tableColumn>
    <tableColumn id="13" xr3:uid="{AC80CAE8-89AA-46CB-AD17-B2A87EBDF291}" name="Price per ML" dataDxfId="14" dataCellStyle="Percent">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830416-12CE-4CEC-91EA-641FFEFD454B}" name="promotion_analysis" displayName="promotion_analysis" ref="A1:J4" totalsRowShown="0">
  <autoFilter ref="A1:J4" xr:uid="{3C830416-12CE-4CEC-91EA-641FFEFD454B}"/>
  <tableColumns count="10">
    <tableColumn id="1" xr3:uid="{C306E404-48E6-4241-A912-92DD42E0B581}" name="Promotion "/>
    <tableColumn id="2" xr3:uid="{8869F3A0-4967-4B68-8EA2-F29B073DE538}" name="Mechanism" dataDxfId="13"/>
    <tableColumn id="3" xr3:uid="{2A121CD1-C0E3-4918-8551-814ACE7E3314}" name="Brand" dataDxfId="12"/>
    <tableColumn id="4" xr3:uid="{7543C383-8A02-4E74-AF99-92F550588F68}" name="Year"/>
    <tableColumn id="5" xr3:uid="{9E3981BC-C16F-410F-81E4-31419BE928F1}" name="Month"/>
    <tableColumn id="6" xr3:uid="{C0D21506-6E1F-4EA8-BD50-1AFB904058ED}" name="Value sales" dataDxfId="11" dataCellStyle="Currency"/>
    <tableColumn id="7" xr3:uid="{2FEECA98-4730-450F-AF86-23140A025659}" name="Baseline sales " dataDxfId="10" dataCellStyle="Currency"/>
    <tableColumn id="8" xr3:uid="{9DF34B1D-A2FE-45E8-91E8-847DD06125C7}" name="Uplift" dataDxfId="9" dataCellStyle="Currency"/>
    <tableColumn id="11" xr3:uid="{A4B2B49D-215C-42E9-97A0-9B114D4F2383}" name="Cost" dataDxfId="8"/>
    <tableColumn id="12" xr3:uid="{B2A83D1D-83B3-4A1B-A801-1459D8F8AE06}" name="ROI" dataCellStyle="Perce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0BE28D-B3AA-4453-A861-021EC62A8D2D}" name="Table7" displayName="Table7" ref="A1:G8" totalsRowShown="0">
  <autoFilter ref="A1:G8" xr:uid="{870BE28D-B3AA-4453-A861-021EC62A8D2D}"/>
  <tableColumns count="7">
    <tableColumn id="1" xr3:uid="{586F0EBD-1C69-45C0-B9FB-B1A2438E5F23}" name="Timeline"/>
    <tableColumn id="2" xr3:uid="{97C5A2D2-C54E-4E09-B2FD-22D3D84C57DA}" name="Values" dataDxfId="6"/>
    <tableColumn id="3" xr3:uid="{A3753415-934C-4D1D-A65D-4F5A8F2AE664}" name="Forecast" dataDxfId="5"/>
    <tableColumn id="4" xr3:uid="{87AF29BB-3B9B-48E1-AF86-C6520DE1890C}" name="Lower Confidence Bound" dataDxfId="4"/>
    <tableColumn id="5" xr3:uid="{517108CD-F72A-4B89-A961-C1493DECB118}" name="Upper Confidence Bound" dataDxfId="3"/>
    <tableColumn id="6" xr3:uid="{56237CD3-AD63-4186-A266-A3B7AE3CF470}" name="Net Sales" dataDxfId="2"/>
    <tableColumn id="7" xr3:uid="{49BA4978-1D1E-40F2-BFD3-E9344BD49738}" name="Ratio" dataDxfId="1"/>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election activeCell="G7" sqref="G7"/>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A17" sqref="A17:K27"/>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 t="s">
        <v>93</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85</v>
      </c>
      <c r="B5" s="7"/>
      <c r="C5" s="7"/>
      <c r="D5" s="7"/>
      <c r="E5" s="7">
        <v>0.18619281693140505</v>
      </c>
      <c r="F5" s="7"/>
      <c r="G5" s="7"/>
      <c r="H5" s="7"/>
      <c r="I5" s="7"/>
      <c r="J5" s="7"/>
      <c r="K5" s="7"/>
    </row>
    <row r="6" spans="1:11" x14ac:dyDescent="0.25">
      <c r="A6" s="3" t="s">
        <v>86</v>
      </c>
      <c r="B6" s="7"/>
      <c r="C6" s="7"/>
      <c r="D6" s="7"/>
      <c r="E6" s="7"/>
      <c r="F6" s="7"/>
      <c r="G6" s="7">
        <v>9.6896202583240873E-2</v>
      </c>
      <c r="H6" s="7"/>
      <c r="I6" s="7"/>
      <c r="J6" s="7"/>
      <c r="K6" s="7"/>
    </row>
    <row r="7" spans="1:11" x14ac:dyDescent="0.25">
      <c r="A7" s="3" t="s">
        <v>87</v>
      </c>
      <c r="B7" s="7"/>
      <c r="C7" s="7"/>
      <c r="D7" s="7"/>
      <c r="E7" s="7"/>
      <c r="F7" s="7"/>
      <c r="G7" s="7"/>
      <c r="H7" s="7"/>
      <c r="I7" s="7">
        <v>9.6896119578325834E-2</v>
      </c>
      <c r="J7" s="7"/>
      <c r="K7" s="7"/>
    </row>
    <row r="8" spans="1:11" x14ac:dyDescent="0.25">
      <c r="A8" s="3" t="s">
        <v>88</v>
      </c>
      <c r="B8" s="7"/>
      <c r="C8" s="7"/>
      <c r="D8" s="7"/>
      <c r="E8" s="7"/>
      <c r="F8" s="7"/>
      <c r="G8" s="7"/>
      <c r="H8" s="7"/>
      <c r="I8" s="7"/>
      <c r="J8" s="7"/>
      <c r="K8" s="7">
        <v>6.8397319470522966E-2</v>
      </c>
    </row>
    <row r="9" spans="1:11" x14ac:dyDescent="0.25">
      <c r="A9" s="3" t="s">
        <v>78</v>
      </c>
      <c r="B9" s="7"/>
      <c r="C9" s="7"/>
      <c r="D9" s="7"/>
      <c r="E9" s="7"/>
      <c r="F9" s="7">
        <v>9.8241009155398171E-2</v>
      </c>
      <c r="G9" s="7"/>
      <c r="H9" s="7"/>
      <c r="I9" s="7"/>
      <c r="J9" s="7"/>
      <c r="K9" s="7"/>
    </row>
    <row r="10" spans="1:11" x14ac:dyDescent="0.25">
      <c r="A10" s="3" t="s">
        <v>80</v>
      </c>
      <c r="B10" s="7">
        <v>4.7426625718030961E-2</v>
      </c>
      <c r="C10" s="7"/>
      <c r="D10" s="7"/>
      <c r="E10" s="7"/>
      <c r="F10" s="7"/>
      <c r="G10" s="7"/>
      <c r="H10" s="7"/>
      <c r="I10" s="7"/>
      <c r="J10" s="7"/>
      <c r="K10" s="7"/>
    </row>
    <row r="11" spans="1:11" x14ac:dyDescent="0.25">
      <c r="A11" s="3" t="s">
        <v>82</v>
      </c>
      <c r="B11" s="7"/>
      <c r="C11" s="7">
        <v>4.178071928534096E-2</v>
      </c>
      <c r="D11" s="7"/>
      <c r="E11" s="7"/>
      <c r="F11" s="7"/>
      <c r="G11" s="7"/>
      <c r="H11" s="7"/>
      <c r="I11" s="7"/>
      <c r="J11" s="7"/>
      <c r="K11" s="7"/>
    </row>
    <row r="12" spans="1:11" x14ac:dyDescent="0.25">
      <c r="A12" s="3" t="s">
        <v>76</v>
      </c>
      <c r="B12" s="7"/>
      <c r="C12" s="7"/>
      <c r="D12" s="7"/>
      <c r="E12" s="7"/>
      <c r="F12" s="7"/>
      <c r="G12" s="7"/>
      <c r="H12" s="7"/>
      <c r="I12" s="7"/>
      <c r="J12" s="7">
        <v>0.17502703482289086</v>
      </c>
      <c r="K12" s="7"/>
    </row>
    <row r="13" spans="1:11" x14ac:dyDescent="0.25">
      <c r="A13" s="3" t="s">
        <v>81</v>
      </c>
      <c r="B13" s="7"/>
      <c r="C13" s="7"/>
      <c r="D13" s="7">
        <v>0.11856673518754952</v>
      </c>
      <c r="E13" s="7"/>
      <c r="F13" s="7"/>
      <c r="G13" s="7"/>
      <c r="H13" s="7"/>
      <c r="I13" s="7"/>
      <c r="J13" s="7"/>
      <c r="K13" s="7"/>
    </row>
    <row r="14" spans="1:11" x14ac:dyDescent="0.25">
      <c r="A14" s="3" t="s">
        <v>83</v>
      </c>
      <c r="B14" s="7"/>
      <c r="C14" s="7"/>
      <c r="D14" s="7"/>
      <c r="E14" s="7"/>
      <c r="F14" s="7"/>
      <c r="G14" s="7"/>
      <c r="H14" s="7">
        <v>7.0575417267294702E-2</v>
      </c>
      <c r="I14" s="7"/>
      <c r="J14" s="7"/>
      <c r="K14" s="7"/>
    </row>
    <row r="17" spans="1:11" x14ac:dyDescent="0.25">
      <c r="A17" s="16" t="s">
        <v>58</v>
      </c>
      <c r="B17" s="17">
        <v>0.64285714285714279</v>
      </c>
      <c r="C17" s="17">
        <v>0.64864864864864868</v>
      </c>
      <c r="D17" s="17">
        <v>0.65714285714285714</v>
      </c>
      <c r="E17" s="17">
        <v>0.67142857142857149</v>
      </c>
      <c r="F17" s="17">
        <v>0.67241379310344829</v>
      </c>
      <c r="G17" s="17">
        <v>0.69411764705882362</v>
      </c>
      <c r="H17" s="17">
        <v>0.7</v>
      </c>
      <c r="I17" s="17">
        <v>0.70588235294117641</v>
      </c>
      <c r="J17" s="17">
        <v>0.70967741935483875</v>
      </c>
      <c r="K17" s="17">
        <v>0.71666666666666667</v>
      </c>
    </row>
    <row r="18" spans="1:11" x14ac:dyDescent="0.25">
      <c r="A18" s="3" t="s">
        <v>85</v>
      </c>
      <c r="B18" s="7"/>
      <c r="C18" s="7"/>
      <c r="D18" s="7"/>
      <c r="E18" s="7">
        <v>0.18619281693140505</v>
      </c>
      <c r="F18" s="7"/>
      <c r="G18" s="7"/>
      <c r="H18" s="7"/>
      <c r="I18" s="7"/>
      <c r="J18" s="7"/>
      <c r="K18" s="7"/>
    </row>
    <row r="19" spans="1:11" x14ac:dyDescent="0.25">
      <c r="A19" s="3" t="s">
        <v>86</v>
      </c>
      <c r="B19" s="7"/>
      <c r="C19" s="7"/>
      <c r="D19" s="7"/>
      <c r="E19" s="7"/>
      <c r="F19" s="7"/>
      <c r="G19" s="7">
        <v>9.6896202583240873E-2</v>
      </c>
      <c r="H19" s="7"/>
      <c r="I19" s="7"/>
      <c r="J19" s="7"/>
      <c r="K19" s="7"/>
    </row>
    <row r="20" spans="1:11" x14ac:dyDescent="0.25">
      <c r="A20" s="3" t="s">
        <v>87</v>
      </c>
      <c r="B20" s="7"/>
      <c r="C20" s="7"/>
      <c r="D20" s="7"/>
      <c r="E20" s="7"/>
      <c r="F20" s="7"/>
      <c r="G20" s="7"/>
      <c r="H20" s="7"/>
      <c r="I20" s="7">
        <v>9.6896119578325834E-2</v>
      </c>
      <c r="J20" s="7"/>
      <c r="K20" s="7"/>
    </row>
    <row r="21" spans="1:11" x14ac:dyDescent="0.25">
      <c r="A21" s="3" t="s">
        <v>88</v>
      </c>
      <c r="B21" s="7"/>
      <c r="C21" s="7"/>
      <c r="D21" s="7"/>
      <c r="E21" s="7"/>
      <c r="F21" s="7"/>
      <c r="G21" s="7"/>
      <c r="H21" s="7"/>
      <c r="I21" s="7"/>
      <c r="J21" s="7"/>
      <c r="K21" s="7">
        <v>6.8397319470522966E-2</v>
      </c>
    </row>
    <row r="22" spans="1:11" x14ac:dyDescent="0.25">
      <c r="A22" s="3" t="s">
        <v>78</v>
      </c>
      <c r="B22" s="7"/>
      <c r="C22" s="7"/>
      <c r="D22" s="7"/>
      <c r="E22" s="7"/>
      <c r="F22" s="7">
        <v>9.8241009155398171E-2</v>
      </c>
      <c r="G22" s="7"/>
      <c r="H22" s="7"/>
      <c r="I22" s="7"/>
      <c r="J22" s="7"/>
      <c r="K22" s="7"/>
    </row>
    <row r="23" spans="1:11" x14ac:dyDescent="0.25">
      <c r="A23" s="3" t="s">
        <v>80</v>
      </c>
      <c r="B23" s="7">
        <v>4.7426625718030961E-2</v>
      </c>
      <c r="C23" s="7"/>
      <c r="D23" s="7"/>
      <c r="E23" s="7"/>
      <c r="F23" s="7"/>
      <c r="G23" s="7"/>
      <c r="H23" s="7"/>
      <c r="I23" s="7"/>
      <c r="J23" s="7"/>
      <c r="K23" s="7"/>
    </row>
    <row r="24" spans="1:11" x14ac:dyDescent="0.25">
      <c r="A24" s="3" t="s">
        <v>82</v>
      </c>
      <c r="B24" s="7"/>
      <c r="C24" s="7">
        <v>4.178071928534096E-2</v>
      </c>
      <c r="D24" s="7"/>
      <c r="E24" s="7"/>
      <c r="F24" s="7"/>
      <c r="G24" s="7"/>
      <c r="H24" s="7"/>
      <c r="I24" s="7"/>
      <c r="J24" s="7"/>
      <c r="K24" s="7"/>
    </row>
    <row r="25" spans="1:11" x14ac:dyDescent="0.25">
      <c r="A25" s="3" t="s">
        <v>76</v>
      </c>
      <c r="B25" s="7"/>
      <c r="C25" s="7"/>
      <c r="D25" s="7"/>
      <c r="E25" s="7"/>
      <c r="F25" s="7"/>
      <c r="G25" s="7"/>
      <c r="H25" s="7"/>
      <c r="I25" s="7"/>
      <c r="J25" s="7">
        <v>0.17502703482289086</v>
      </c>
      <c r="K25" s="7"/>
    </row>
    <row r="26" spans="1:11" x14ac:dyDescent="0.25">
      <c r="A26" s="3" t="s">
        <v>81</v>
      </c>
      <c r="B26" s="7"/>
      <c r="C26" s="7"/>
      <c r="D26" s="7">
        <v>0.11856673518754952</v>
      </c>
      <c r="E26" s="7"/>
      <c r="F26" s="7"/>
      <c r="G26" s="7"/>
      <c r="H26" s="7"/>
      <c r="I26" s="7"/>
      <c r="J26" s="7"/>
      <c r="K26" s="7"/>
    </row>
    <row r="27" spans="1:11" x14ac:dyDescent="0.25">
      <c r="A27" s="3" t="s">
        <v>83</v>
      </c>
      <c r="B27" s="7"/>
      <c r="C27" s="7"/>
      <c r="D27" s="7"/>
      <c r="E27" s="7"/>
      <c r="F27" s="7"/>
      <c r="G27" s="7"/>
      <c r="H27" s="7">
        <v>7.0575417267294702E-2</v>
      </c>
      <c r="I27" s="7"/>
      <c r="J27" s="7"/>
      <c r="K27" s="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workbookViewId="0">
      <selection activeCell="I2" sqref="I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8" t="s">
        <v>71</v>
      </c>
      <c r="F1" s="8" t="s">
        <v>72</v>
      </c>
      <c r="G1" s="8" t="s">
        <v>73</v>
      </c>
      <c r="H1" s="9" t="s">
        <v>74</v>
      </c>
      <c r="I1" t="s">
        <v>120</v>
      </c>
      <c r="J1" t="s">
        <v>94</v>
      </c>
      <c r="K1" t="s">
        <v>90</v>
      </c>
      <c r="L1" t="s">
        <v>91</v>
      </c>
      <c r="M1" t="s">
        <v>92</v>
      </c>
    </row>
    <row r="2" spans="1:13" x14ac:dyDescent="0.25">
      <c r="A2" t="s">
        <v>57</v>
      </c>
      <c r="B2" t="s">
        <v>75</v>
      </c>
      <c r="C2">
        <v>100</v>
      </c>
      <c r="D2" t="s">
        <v>76</v>
      </c>
      <c r="E2" s="12">
        <v>5</v>
      </c>
      <c r="F2" s="12">
        <v>3.1</v>
      </c>
      <c r="G2" s="12">
        <v>0.9</v>
      </c>
      <c r="H2" s="9">
        <v>1156348</v>
      </c>
      <c r="I2" s="6">
        <f>internal_sales_data[[#This Row],[Volume 2022]]*internal_sales_data[[#This Row],[Net Price]]</f>
        <v>3584678.8000000003</v>
      </c>
      <c r="J2" s="12">
        <f>internal_sales_data[[#This Row],[Net Price]]-internal_sales_data[[#This Row],[COGS]]</f>
        <v>2.2000000000000002</v>
      </c>
      <c r="K2" s="6">
        <f>internal_sales_data[[#This Row],[Gross Profit per unit]]*internal_sales_data[[#This Row],[Volume 2022]]</f>
        <v>2543965.6</v>
      </c>
      <c r="L2" s="14">
        <f>internal_sales_data[[#This Row],[Gross Profit per unit]]/internal_sales_data[[#This Row],[Net Price]]</f>
        <v>0.70967741935483875</v>
      </c>
      <c r="M2" s="14">
        <f>internal_sales_data[[#This Row],[Net Sales 2022]]/internal_sales_data[[#Totals],[Net Sales 2022]]</f>
        <v>0.17502703482289086</v>
      </c>
    </row>
    <row r="3" spans="1:13" x14ac:dyDescent="0.25">
      <c r="A3" t="s">
        <v>57</v>
      </c>
      <c r="B3" t="s">
        <v>77</v>
      </c>
      <c r="C3">
        <v>100</v>
      </c>
      <c r="D3" t="s">
        <v>78</v>
      </c>
      <c r="E3" s="12">
        <v>5</v>
      </c>
      <c r="F3" s="12">
        <v>2.9</v>
      </c>
      <c r="G3" s="12">
        <v>0.95</v>
      </c>
      <c r="H3" s="9">
        <v>693809</v>
      </c>
      <c r="I3" s="6">
        <f>internal_sales_data[[#This Row],[Volume 2022]]*internal_sales_data[[#This Row],[Net Price]]</f>
        <v>2012046.0999999999</v>
      </c>
      <c r="J3" s="12">
        <f>internal_sales_data[[#This Row],[Net Price]]-internal_sales_data[[#This Row],[COGS]]</f>
        <v>1.95</v>
      </c>
      <c r="K3" s="6">
        <f>internal_sales_data[[#This Row],[Gross Profit per unit]]*internal_sales_data[[#This Row],[Volume 2022]]</f>
        <v>1352927.55</v>
      </c>
      <c r="L3" s="14">
        <f>internal_sales_data[[#This Row],[Gross Profit per unit]]/internal_sales_data[[#This Row],[Net Price]]</f>
        <v>0.67241379310344829</v>
      </c>
      <c r="M3" s="14">
        <f>internal_sales_data[[#This Row],[Net Sales 2022]]/internal_sales_data[[#Totals],[Net Sales 2022]]</f>
        <v>9.8241009155398171E-2</v>
      </c>
    </row>
    <row r="4" spans="1:13" x14ac:dyDescent="0.25">
      <c r="A4" t="s">
        <v>57</v>
      </c>
      <c r="B4" t="s">
        <v>79</v>
      </c>
      <c r="C4">
        <v>100</v>
      </c>
      <c r="D4" t="s">
        <v>80</v>
      </c>
      <c r="E4" s="12">
        <v>5</v>
      </c>
      <c r="F4" s="12">
        <v>2.8</v>
      </c>
      <c r="G4" s="12">
        <v>1</v>
      </c>
      <c r="H4" s="9">
        <v>346904</v>
      </c>
      <c r="I4" s="6">
        <f>internal_sales_data[[#This Row],[Volume 2022]]*internal_sales_data[[#This Row],[Net Price]]</f>
        <v>971331.2</v>
      </c>
      <c r="J4" s="12">
        <f>internal_sales_data[[#This Row],[Net Price]]-internal_sales_data[[#This Row],[COGS]]</f>
        <v>1.7999999999999998</v>
      </c>
      <c r="K4" s="6">
        <f>internal_sales_data[[#This Row],[Gross Profit per unit]]*internal_sales_data[[#This Row],[Volume 2022]]</f>
        <v>624427.19999999995</v>
      </c>
      <c r="L4" s="14">
        <f>internal_sales_data[[#This Row],[Gross Profit per unit]]/internal_sales_data[[#This Row],[Net Price]]</f>
        <v>0.64285714285714279</v>
      </c>
      <c r="M4" s="14">
        <f>internal_sales_data[[#This Row],[Net Sales 2022]]/internal_sales_data[[#Totals],[Net Sales 2022]]</f>
        <v>4.7426625718030961E-2</v>
      </c>
    </row>
    <row r="5" spans="1:13" x14ac:dyDescent="0.25">
      <c r="A5" t="s">
        <v>57</v>
      </c>
      <c r="B5" t="s">
        <v>75</v>
      </c>
      <c r="C5">
        <v>150</v>
      </c>
      <c r="D5" t="s">
        <v>81</v>
      </c>
      <c r="E5" s="12">
        <v>7</v>
      </c>
      <c r="F5" s="12">
        <v>3.5</v>
      </c>
      <c r="G5" s="12">
        <v>1.2</v>
      </c>
      <c r="H5" s="9">
        <v>693809</v>
      </c>
      <c r="I5" s="6">
        <f>internal_sales_data[[#This Row],[Volume 2022]]*internal_sales_data[[#This Row],[Net Price]]</f>
        <v>2428331.5</v>
      </c>
      <c r="J5" s="12">
        <f>internal_sales_data[[#This Row],[Net Price]]-internal_sales_data[[#This Row],[COGS]]</f>
        <v>2.2999999999999998</v>
      </c>
      <c r="K5" s="6">
        <f>internal_sales_data[[#This Row],[Gross Profit per unit]]*internal_sales_data[[#This Row],[Volume 2022]]</f>
        <v>1595760.7</v>
      </c>
      <c r="L5" s="14">
        <f>internal_sales_data[[#This Row],[Gross Profit per unit]]/internal_sales_data[[#This Row],[Net Price]]</f>
        <v>0.65714285714285714</v>
      </c>
      <c r="M5" s="14">
        <f>internal_sales_data[[#This Row],[Net Sales 2022]]/internal_sales_data[[#Totals],[Net Sales 2022]]</f>
        <v>0.11856673518754952</v>
      </c>
    </row>
    <row r="6" spans="1:13" x14ac:dyDescent="0.25">
      <c r="A6" t="s">
        <v>57</v>
      </c>
      <c r="B6" t="s">
        <v>79</v>
      </c>
      <c r="C6">
        <v>150</v>
      </c>
      <c r="D6" t="s">
        <v>82</v>
      </c>
      <c r="E6" s="12">
        <v>7.25</v>
      </c>
      <c r="F6" s="12">
        <v>3.7</v>
      </c>
      <c r="G6" s="12">
        <v>1.3</v>
      </c>
      <c r="H6" s="9">
        <v>231270</v>
      </c>
      <c r="I6" s="6">
        <f>internal_sales_data[[#This Row],[Volume 2022]]*internal_sales_data[[#This Row],[Net Price]]</f>
        <v>855699</v>
      </c>
      <c r="J6" s="12">
        <f>internal_sales_data[[#This Row],[Net Price]]-internal_sales_data[[#This Row],[COGS]]</f>
        <v>2.4000000000000004</v>
      </c>
      <c r="K6" s="6">
        <f>internal_sales_data[[#This Row],[Gross Profit per unit]]*internal_sales_data[[#This Row],[Volume 2022]]</f>
        <v>555048.00000000012</v>
      </c>
      <c r="L6" s="14">
        <f>internal_sales_data[[#This Row],[Gross Profit per unit]]/internal_sales_data[[#This Row],[Net Price]]</f>
        <v>0.64864864864864868</v>
      </c>
      <c r="M6" s="14">
        <f>internal_sales_data[[#This Row],[Net Sales 2022]]/internal_sales_data[[#Totals],[Net Sales 2022]]</f>
        <v>4.178071928534096E-2</v>
      </c>
    </row>
    <row r="7" spans="1:13" x14ac:dyDescent="0.25">
      <c r="A7" t="s">
        <v>57</v>
      </c>
      <c r="B7" t="s">
        <v>75</v>
      </c>
      <c r="C7">
        <v>200</v>
      </c>
      <c r="D7" t="s">
        <v>83</v>
      </c>
      <c r="E7" s="12">
        <v>9</v>
      </c>
      <c r="F7" s="12">
        <v>5</v>
      </c>
      <c r="G7" s="12">
        <v>1.5</v>
      </c>
      <c r="H7" s="9">
        <v>289087</v>
      </c>
      <c r="I7" s="6">
        <f>internal_sales_data[[#This Row],[Volume 2022]]*internal_sales_data[[#This Row],[Net Price]]</f>
        <v>1445435</v>
      </c>
      <c r="J7" s="12">
        <f>internal_sales_data[[#This Row],[Net Price]]-internal_sales_data[[#This Row],[COGS]]</f>
        <v>3.5</v>
      </c>
      <c r="K7" s="6">
        <f>internal_sales_data[[#This Row],[Gross Profit per unit]]*internal_sales_data[[#This Row],[Volume 2022]]</f>
        <v>1011804.5</v>
      </c>
      <c r="L7" s="14">
        <f>internal_sales_data[[#This Row],[Gross Profit per unit]]/internal_sales_data[[#This Row],[Net Price]]</f>
        <v>0.7</v>
      </c>
      <c r="M7" s="14">
        <f>internal_sales_data[[#This Row],[Net Sales 2022]]/internal_sales_data[[#Totals],[Net Sales 2022]]</f>
        <v>7.0575417267294702E-2</v>
      </c>
    </row>
    <row r="8" spans="1:13" x14ac:dyDescent="0.25">
      <c r="A8" t="s">
        <v>22</v>
      </c>
      <c r="B8" t="s">
        <v>84</v>
      </c>
      <c r="C8">
        <v>100</v>
      </c>
      <c r="D8" t="s">
        <v>85</v>
      </c>
      <c r="E8" s="12">
        <v>6</v>
      </c>
      <c r="F8" s="12">
        <v>3.5</v>
      </c>
      <c r="G8" s="12">
        <v>1.1499999999999999</v>
      </c>
      <c r="H8" s="9">
        <v>1089532</v>
      </c>
      <c r="I8" s="6">
        <f>internal_sales_data[[#This Row],[Volume 2022]]*internal_sales_data[[#This Row],[Net Price]]</f>
        <v>3813362</v>
      </c>
      <c r="J8" s="12">
        <f>internal_sales_data[[#This Row],[Net Price]]-internal_sales_data[[#This Row],[COGS]]</f>
        <v>2.35</v>
      </c>
      <c r="K8" s="6">
        <f>internal_sales_data[[#This Row],[Gross Profit per unit]]*internal_sales_data[[#This Row],[Volume 2022]]</f>
        <v>2560400.2000000002</v>
      </c>
      <c r="L8" s="14">
        <f>internal_sales_data[[#This Row],[Gross Profit per unit]]/internal_sales_data[[#This Row],[Net Price]]</f>
        <v>0.67142857142857149</v>
      </c>
      <c r="M8" s="14">
        <f>internal_sales_data[[#This Row],[Net Sales 2022]]/internal_sales_data[[#Totals],[Net Sales 2022]]</f>
        <v>0.18619281693140505</v>
      </c>
    </row>
    <row r="9" spans="1:13" x14ac:dyDescent="0.25">
      <c r="A9" t="s">
        <v>22</v>
      </c>
      <c r="B9" t="s">
        <v>84</v>
      </c>
      <c r="C9">
        <v>125</v>
      </c>
      <c r="D9" t="s">
        <v>86</v>
      </c>
      <c r="E9" s="12">
        <v>7</v>
      </c>
      <c r="F9" s="12">
        <v>4.25</v>
      </c>
      <c r="G9" s="12">
        <v>1.3</v>
      </c>
      <c r="H9" s="9">
        <v>466942</v>
      </c>
      <c r="I9" s="6">
        <f>internal_sales_data[[#This Row],[Volume 2022]]*internal_sales_data[[#This Row],[Net Price]]</f>
        <v>1984503.5</v>
      </c>
      <c r="J9" s="12">
        <f>internal_sales_data[[#This Row],[Net Price]]-internal_sales_data[[#This Row],[COGS]]</f>
        <v>2.95</v>
      </c>
      <c r="K9" s="6">
        <f>internal_sales_data[[#This Row],[Gross Profit per unit]]*internal_sales_data[[#This Row],[Volume 2022]]</f>
        <v>1377478.9000000001</v>
      </c>
      <c r="L9" s="14">
        <f>internal_sales_data[[#This Row],[Gross Profit per unit]]/internal_sales_data[[#This Row],[Net Price]]</f>
        <v>0.69411764705882362</v>
      </c>
      <c r="M9" s="14">
        <f>internal_sales_data[[#This Row],[Net Sales 2022]]/internal_sales_data[[#Totals],[Net Sales 2022]]</f>
        <v>9.6896202583240873E-2</v>
      </c>
    </row>
    <row r="10" spans="1:13" x14ac:dyDescent="0.25">
      <c r="A10" t="s">
        <v>22</v>
      </c>
      <c r="B10" t="s">
        <v>84</v>
      </c>
      <c r="C10">
        <v>150</v>
      </c>
      <c r="D10" t="s">
        <v>87</v>
      </c>
      <c r="E10" s="12">
        <v>8</v>
      </c>
      <c r="F10" s="12">
        <v>5.0999999999999996</v>
      </c>
      <c r="G10" s="12">
        <v>1.5</v>
      </c>
      <c r="H10" s="9">
        <v>389118</v>
      </c>
      <c r="I10" s="6">
        <f>internal_sales_data[[#This Row],[Volume 2022]]*internal_sales_data[[#This Row],[Net Price]]</f>
        <v>1984501.7999999998</v>
      </c>
      <c r="J10" s="12">
        <f>internal_sales_data[[#This Row],[Net Price]]-internal_sales_data[[#This Row],[COGS]]</f>
        <v>3.5999999999999996</v>
      </c>
      <c r="K10" s="6">
        <f>internal_sales_data[[#This Row],[Gross Profit per unit]]*internal_sales_data[[#This Row],[Volume 2022]]</f>
        <v>1400824.7999999998</v>
      </c>
      <c r="L10" s="14">
        <f>internal_sales_data[[#This Row],[Gross Profit per unit]]/internal_sales_data[[#This Row],[Net Price]]</f>
        <v>0.70588235294117641</v>
      </c>
      <c r="M10" s="14">
        <f>internal_sales_data[[#This Row],[Net Sales 2022]]/internal_sales_data[[#Totals],[Net Sales 2022]]</f>
        <v>9.6896119578325834E-2</v>
      </c>
    </row>
    <row r="11" spans="1:13" x14ac:dyDescent="0.25">
      <c r="A11" t="s">
        <v>22</v>
      </c>
      <c r="B11" t="s">
        <v>84</v>
      </c>
      <c r="C11">
        <v>200</v>
      </c>
      <c r="D11" t="s">
        <v>88</v>
      </c>
      <c r="E11" s="12">
        <v>10</v>
      </c>
      <c r="F11" s="12">
        <v>6</v>
      </c>
      <c r="G11" s="12">
        <v>1.7</v>
      </c>
      <c r="H11" s="9">
        <v>233471</v>
      </c>
      <c r="I11" s="6">
        <f>internal_sales_data[[#This Row],[Volume 2022]]*internal_sales_data[[#This Row],[Net Price]]</f>
        <v>1400826</v>
      </c>
      <c r="J11" s="12">
        <f>internal_sales_data[[#This Row],[Net Price]]-internal_sales_data[[#This Row],[COGS]]</f>
        <v>4.3</v>
      </c>
      <c r="K11" s="6">
        <f>internal_sales_data[[#This Row],[Gross Profit per unit]]*internal_sales_data[[#This Row],[Volume 2022]]</f>
        <v>1003925.2999999999</v>
      </c>
      <c r="L11" s="14">
        <f>internal_sales_data[[#This Row],[Gross Profit per unit]]/internal_sales_data[[#This Row],[Net Price]]</f>
        <v>0.71666666666666667</v>
      </c>
      <c r="M11" s="14">
        <f>internal_sales_data[[#This Row],[Net Sales 2022]]/internal_sales_data[[#Totals],[Net Sales 2022]]</f>
        <v>6.8397319470522966E-2</v>
      </c>
    </row>
    <row r="12" spans="1:13" x14ac:dyDescent="0.25">
      <c r="A12" t="s">
        <v>89</v>
      </c>
      <c r="E12"/>
      <c r="F12"/>
      <c r="G12"/>
      <c r="H12" s="10">
        <f>SUBTOTAL(109,internal_sales_data[Volume 2022])</f>
        <v>5590290</v>
      </c>
      <c r="I12" s="1">
        <f>SUBTOTAL(109,internal_sales_data[Net Sales 2022])</f>
        <v>20480714.900000002</v>
      </c>
      <c r="J12" s="13"/>
      <c r="K12" s="1">
        <f>SUBTOTAL(109,internal_sales_data[Gross Profit per product])</f>
        <v>14026562.75</v>
      </c>
      <c r="L12" s="15">
        <f>internal_sales_data[[#Totals],[Gross Profit per product]]/internal_sales_data[[#Totals],[Net Sales 2022]]</f>
        <v>0.68486685247495915</v>
      </c>
    </row>
    <row r="13" spans="1:13" x14ac:dyDescent="0.25">
      <c r="I13" s="11"/>
    </row>
    <row r="23" spans="9:9" x14ac:dyDescent="0.25">
      <c r="I23" s="13"/>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B18" sqref="B18"/>
    </sheetView>
  </sheetViews>
  <sheetFormatPr defaultRowHeight="15" x14ac:dyDescent="0.25"/>
  <cols>
    <col min="1" max="1" width="13.140625" bestFit="1" customWidth="1"/>
    <col min="2" max="2" width="17" bestFit="1" customWidth="1"/>
    <col min="3" max="3" width="5.5703125" bestFit="1" customWidth="1"/>
    <col min="4" max="4" width="5" bestFit="1" customWidth="1"/>
    <col min="5" max="5" width="18.42578125" bestFit="1" customWidth="1"/>
    <col min="6" max="6" width="8.140625" bestFit="1" customWidth="1"/>
    <col min="7" max="7" width="7.85546875" bestFit="1" customWidth="1"/>
    <col min="8" max="8" width="11.28515625" bestFit="1" customWidth="1"/>
  </cols>
  <sheetData>
    <row r="3" spans="1:3" x14ac:dyDescent="0.25">
      <c r="A3" s="2" t="s">
        <v>95</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2" spans="1:3" x14ac:dyDescent="0.25">
      <c r="A12" s="2" t="s">
        <v>4</v>
      </c>
      <c r="B12" s="3">
        <v>2023</v>
      </c>
    </row>
    <row r="13" spans="1:3" x14ac:dyDescent="0.25">
      <c r="A13" s="2" t="s">
        <v>5</v>
      </c>
      <c r="B13" s="3">
        <v>3</v>
      </c>
    </row>
    <row r="15" spans="1:3" x14ac:dyDescent="0.25">
      <c r="A15" s="2" t="s">
        <v>58</v>
      </c>
      <c r="B15" t="s">
        <v>97</v>
      </c>
    </row>
    <row r="16" spans="1:3" x14ac:dyDescent="0.25">
      <c r="A16" s="3" t="s">
        <v>30</v>
      </c>
      <c r="B16" s="10">
        <v>850749</v>
      </c>
    </row>
    <row r="18" spans="1:2" x14ac:dyDescent="0.25">
      <c r="A18" t="s">
        <v>96</v>
      </c>
      <c r="B18" s="9">
        <f>GETPIVOTDATA("Units MAT",$A$15,"Subcategory","Organic")*(1+20%)</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3"/>
  <sheetViews>
    <sheetView workbookViewId="0">
      <selection activeCell="A2" sqref="A2:A3"/>
    </sheetView>
  </sheetViews>
  <sheetFormatPr defaultRowHeight="15" x14ac:dyDescent="0.25"/>
  <cols>
    <col min="1" max="1" width="10.140625" bestFit="1" customWidth="1"/>
    <col min="2" max="2" width="29.28515625" bestFit="1" customWidth="1"/>
    <col min="3" max="3" width="26" bestFit="1" customWidth="1"/>
    <col min="4" max="4" width="11.42578125" bestFit="1" customWidth="1"/>
    <col min="5" max="5" width="12.28515625" bestFit="1" customWidth="1"/>
    <col min="6" max="6" width="8.28515625" bestFit="1" customWidth="1"/>
    <col min="7" max="7" width="21.42578125" bestFit="1" customWidth="1"/>
    <col min="8" max="8" width="24.85546875" bestFit="1" customWidth="1"/>
    <col min="9" max="9" width="15" bestFit="1" customWidth="1"/>
  </cols>
  <sheetData>
    <row r="1" spans="1:9" x14ac:dyDescent="0.25">
      <c r="A1" t="s">
        <v>68</v>
      </c>
      <c r="B1" t="s">
        <v>99</v>
      </c>
      <c r="C1" t="s">
        <v>100</v>
      </c>
      <c r="D1" t="s">
        <v>72</v>
      </c>
      <c r="E1" t="s">
        <v>101</v>
      </c>
      <c r="F1" t="s">
        <v>73</v>
      </c>
      <c r="G1" t="s">
        <v>94</v>
      </c>
      <c r="H1" t="s">
        <v>90</v>
      </c>
      <c r="I1" t="s">
        <v>91</v>
      </c>
    </row>
    <row r="2" spans="1:9" x14ac:dyDescent="0.25">
      <c r="A2" t="s">
        <v>124</v>
      </c>
      <c r="B2" s="14">
        <v>0.1</v>
      </c>
      <c r="C2" s="9">
        <f>new_product_launch[[#This Row],[Estimated Unit Market Share]]*'New Category Opportunity'!$B$18</f>
        <v>102089.88</v>
      </c>
      <c r="D2" s="13">
        <v>3.5</v>
      </c>
      <c r="E2" s="1">
        <f>new_product_launch[[#This Row],[Net Price]]*new_product_launch[[#This Row],[Estimated units sold 2024]]</f>
        <v>357314.58</v>
      </c>
      <c r="F2" s="13">
        <v>1.35</v>
      </c>
      <c r="G2" s="13">
        <f>new_product_launch[[#This Row],[Net Price]]-new_product_launch[[#This Row],[COGS]]</f>
        <v>2.15</v>
      </c>
      <c r="H2" s="9">
        <f>new_product_launch[[#This Row],[Gross Profit per unit]]*new_product_launch[[#This Row],[Estimated units sold 2024]]</f>
        <v>219493.242</v>
      </c>
      <c r="I2" s="14">
        <f>new_product_launch[[#This Row],[Gross Profit per product]]/new_product_launch[[#This Row],[Net Sales]]</f>
        <v>0.61428571428571421</v>
      </c>
    </row>
    <row r="3" spans="1:9" x14ac:dyDescent="0.25">
      <c r="A3" t="s">
        <v>125</v>
      </c>
      <c r="B3" s="14">
        <v>0.12</v>
      </c>
      <c r="C3" s="9">
        <f>new_product_launch[[#This Row],[Estimated Unit Market Share]]*'New Category Opportunity'!$B$18</f>
        <v>122507.85599999999</v>
      </c>
      <c r="D3" s="13">
        <v>2.75</v>
      </c>
      <c r="E3" s="1">
        <f>new_product_launch[[#This Row],[Net Price]]*new_product_launch[[#This Row],[Estimated units sold 2024]]</f>
        <v>336896.60399999993</v>
      </c>
      <c r="F3" s="13">
        <v>0.9</v>
      </c>
      <c r="G3" s="13">
        <f>new_product_launch[[#This Row],[Net Price]]-new_product_launch[[#This Row],[COGS]]</f>
        <v>1.85</v>
      </c>
      <c r="H3" s="9">
        <f>new_product_launch[[#This Row],[Gross Profit per unit]]*new_product_launch[[#This Row],[Estimated units sold 2024]]</f>
        <v>226639.5336</v>
      </c>
      <c r="I3" s="14">
        <f>new_product_launch[[#This Row],[Gross Profit per product]]/new_product_launch[[#This Row],[Net Sales]]</f>
        <v>0.67272727272727284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AF25-4994-4209-9523-D1F5467409C0}">
  <dimension ref="A1:M22"/>
  <sheetViews>
    <sheetView workbookViewId="0">
      <selection activeCell="I1" sqref="I1"/>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8" t="s">
        <v>71</v>
      </c>
      <c r="F1" s="8" t="s">
        <v>72</v>
      </c>
      <c r="G1" s="8" t="s">
        <v>73</v>
      </c>
      <c r="H1" s="9" t="s">
        <v>74</v>
      </c>
      <c r="I1" t="s">
        <v>120</v>
      </c>
      <c r="J1" t="s">
        <v>94</v>
      </c>
      <c r="K1" t="s">
        <v>90</v>
      </c>
      <c r="L1" t="s">
        <v>91</v>
      </c>
      <c r="M1" t="s">
        <v>102</v>
      </c>
    </row>
    <row r="2" spans="1:13" x14ac:dyDescent="0.25">
      <c r="A2" t="s">
        <v>57</v>
      </c>
      <c r="B2" t="s">
        <v>75</v>
      </c>
      <c r="C2">
        <v>100</v>
      </c>
      <c r="D2" t="s">
        <v>76</v>
      </c>
      <c r="E2" s="12">
        <v>5</v>
      </c>
      <c r="F2" s="12">
        <v>3.1</v>
      </c>
      <c r="G2" s="12">
        <v>0.9</v>
      </c>
      <c r="H2" s="9">
        <v>1156348</v>
      </c>
      <c r="I2" s="6">
        <f>internal_sales_data5[[#This Row],[Volume 2022]]*internal_sales_data5[[#This Row],[Net Price]]</f>
        <v>3584678.8000000003</v>
      </c>
      <c r="J2" s="12">
        <f>internal_sales_data5[[#This Row],[Net Price]]-internal_sales_data5[[#This Row],[COGS]]</f>
        <v>2.2000000000000002</v>
      </c>
      <c r="K2" s="6">
        <f>internal_sales_data5[[#This Row],[Gross Profit per unit]]*internal_sales_data5[[#This Row],[Volume 2022]]</f>
        <v>2543965.6</v>
      </c>
      <c r="L2" s="14">
        <f>internal_sales_data5[[#This Row],[Gross Profit per unit]]/internal_sales_data5[[#This Row],[Net Price]]</f>
        <v>0.70967741935483875</v>
      </c>
      <c r="M2" s="18">
        <f>internal_sales_data5[[#This Row],[Retail Price]]/internal_sales_data5[[#This Row],[Pack Size (ml)]]</f>
        <v>0.05</v>
      </c>
    </row>
    <row r="3" spans="1:13" x14ac:dyDescent="0.25">
      <c r="A3" t="s">
        <v>57</v>
      </c>
      <c r="B3" t="s">
        <v>77</v>
      </c>
      <c r="C3">
        <v>100</v>
      </c>
      <c r="D3" t="s">
        <v>78</v>
      </c>
      <c r="E3" s="12">
        <v>5</v>
      </c>
      <c r="F3" s="12">
        <v>2.9</v>
      </c>
      <c r="G3" s="12">
        <v>0.95</v>
      </c>
      <c r="H3" s="9">
        <v>693809</v>
      </c>
      <c r="I3" s="6">
        <f>internal_sales_data5[[#This Row],[Volume 2022]]*internal_sales_data5[[#This Row],[Net Price]]</f>
        <v>2012046.0999999999</v>
      </c>
      <c r="J3" s="12">
        <f>internal_sales_data5[[#This Row],[Net Price]]-internal_sales_data5[[#This Row],[COGS]]</f>
        <v>1.95</v>
      </c>
      <c r="K3" s="6">
        <f>internal_sales_data5[[#This Row],[Gross Profit per unit]]*internal_sales_data5[[#This Row],[Volume 2022]]</f>
        <v>1352927.55</v>
      </c>
      <c r="L3" s="14">
        <f>internal_sales_data5[[#This Row],[Gross Profit per unit]]/internal_sales_data5[[#This Row],[Net Price]]</f>
        <v>0.67241379310344829</v>
      </c>
      <c r="M3" s="18">
        <f>internal_sales_data5[[#This Row],[Retail Price]]/internal_sales_data5[[#This Row],[Pack Size (ml)]]</f>
        <v>0.05</v>
      </c>
    </row>
    <row r="4" spans="1:13" x14ac:dyDescent="0.25">
      <c r="A4" t="s">
        <v>57</v>
      </c>
      <c r="B4" t="s">
        <v>79</v>
      </c>
      <c r="C4">
        <v>100</v>
      </c>
      <c r="D4" t="s">
        <v>80</v>
      </c>
      <c r="E4" s="12">
        <v>5</v>
      </c>
      <c r="F4" s="12">
        <v>2.8</v>
      </c>
      <c r="G4" s="12">
        <v>1</v>
      </c>
      <c r="H4" s="9">
        <v>346904</v>
      </c>
      <c r="I4" s="6">
        <f>internal_sales_data5[[#This Row],[Volume 2022]]*internal_sales_data5[[#This Row],[Net Price]]</f>
        <v>971331.2</v>
      </c>
      <c r="J4" s="12">
        <f>internal_sales_data5[[#This Row],[Net Price]]-internal_sales_data5[[#This Row],[COGS]]</f>
        <v>1.7999999999999998</v>
      </c>
      <c r="K4" s="6">
        <f>internal_sales_data5[[#This Row],[Gross Profit per unit]]*internal_sales_data5[[#This Row],[Volume 2022]]</f>
        <v>624427.19999999995</v>
      </c>
      <c r="L4" s="14">
        <f>internal_sales_data5[[#This Row],[Gross Profit per unit]]/internal_sales_data5[[#This Row],[Net Price]]</f>
        <v>0.64285714285714279</v>
      </c>
      <c r="M4" s="18">
        <f>internal_sales_data5[[#This Row],[Retail Price]]/internal_sales_data5[[#This Row],[Pack Size (ml)]]</f>
        <v>0.05</v>
      </c>
    </row>
    <row r="5" spans="1:13" x14ac:dyDescent="0.25">
      <c r="A5" t="s">
        <v>57</v>
      </c>
      <c r="B5" t="s">
        <v>75</v>
      </c>
      <c r="C5">
        <v>150</v>
      </c>
      <c r="D5" t="s">
        <v>81</v>
      </c>
      <c r="E5" s="12">
        <v>7</v>
      </c>
      <c r="F5" s="12">
        <v>3.5</v>
      </c>
      <c r="G5" s="12">
        <v>1.2</v>
      </c>
      <c r="H5" s="9">
        <v>693809</v>
      </c>
      <c r="I5" s="6">
        <f>internal_sales_data5[[#This Row],[Volume 2022]]*internal_sales_data5[[#This Row],[Net Price]]</f>
        <v>2428331.5</v>
      </c>
      <c r="J5" s="12">
        <f>internal_sales_data5[[#This Row],[Net Price]]-internal_sales_data5[[#This Row],[COGS]]</f>
        <v>2.2999999999999998</v>
      </c>
      <c r="K5" s="6">
        <f>internal_sales_data5[[#This Row],[Gross Profit per unit]]*internal_sales_data5[[#This Row],[Volume 2022]]</f>
        <v>1595760.7</v>
      </c>
      <c r="L5" s="14">
        <f>internal_sales_data5[[#This Row],[Gross Profit per unit]]/internal_sales_data5[[#This Row],[Net Price]]</f>
        <v>0.65714285714285714</v>
      </c>
      <c r="M5" s="18">
        <f>internal_sales_data5[[#This Row],[Retail Price]]/internal_sales_data5[[#This Row],[Pack Size (ml)]]</f>
        <v>4.6666666666666669E-2</v>
      </c>
    </row>
    <row r="6" spans="1:13" x14ac:dyDescent="0.25">
      <c r="A6" t="s">
        <v>57</v>
      </c>
      <c r="B6" t="s">
        <v>79</v>
      </c>
      <c r="C6">
        <v>150</v>
      </c>
      <c r="D6" t="s">
        <v>82</v>
      </c>
      <c r="E6" s="12">
        <v>7.25</v>
      </c>
      <c r="F6" s="12">
        <v>3.7</v>
      </c>
      <c r="G6" s="12">
        <v>1.3</v>
      </c>
      <c r="H6" s="9">
        <v>231270</v>
      </c>
      <c r="I6" s="6">
        <f>internal_sales_data5[[#This Row],[Volume 2022]]*internal_sales_data5[[#This Row],[Net Price]]</f>
        <v>855699</v>
      </c>
      <c r="J6" s="12">
        <f>internal_sales_data5[[#This Row],[Net Price]]-internal_sales_data5[[#This Row],[COGS]]</f>
        <v>2.4000000000000004</v>
      </c>
      <c r="K6" s="6">
        <f>internal_sales_data5[[#This Row],[Gross Profit per unit]]*internal_sales_data5[[#This Row],[Volume 2022]]</f>
        <v>555048.00000000012</v>
      </c>
      <c r="L6" s="14">
        <f>internal_sales_data5[[#This Row],[Gross Profit per unit]]/internal_sales_data5[[#This Row],[Net Price]]</f>
        <v>0.64864864864864868</v>
      </c>
      <c r="M6" s="18">
        <f>internal_sales_data5[[#This Row],[Retail Price]]/internal_sales_data5[[#This Row],[Pack Size (ml)]]</f>
        <v>4.8333333333333332E-2</v>
      </c>
    </row>
    <row r="7" spans="1:13" x14ac:dyDescent="0.25">
      <c r="A7" t="s">
        <v>57</v>
      </c>
      <c r="B7" t="s">
        <v>75</v>
      </c>
      <c r="C7">
        <v>200</v>
      </c>
      <c r="D7" t="s">
        <v>83</v>
      </c>
      <c r="E7" s="12">
        <v>9</v>
      </c>
      <c r="F7" s="12">
        <v>5</v>
      </c>
      <c r="G7" s="12">
        <v>1.5</v>
      </c>
      <c r="H7" s="9">
        <v>289087</v>
      </c>
      <c r="I7" s="6">
        <f>internal_sales_data5[[#This Row],[Volume 2022]]*internal_sales_data5[[#This Row],[Net Price]]</f>
        <v>1445435</v>
      </c>
      <c r="J7" s="12">
        <f>internal_sales_data5[[#This Row],[Net Price]]-internal_sales_data5[[#This Row],[COGS]]</f>
        <v>3.5</v>
      </c>
      <c r="K7" s="6">
        <f>internal_sales_data5[[#This Row],[Gross Profit per unit]]*internal_sales_data5[[#This Row],[Volume 2022]]</f>
        <v>1011804.5</v>
      </c>
      <c r="L7" s="14">
        <f>internal_sales_data5[[#This Row],[Gross Profit per unit]]/internal_sales_data5[[#This Row],[Net Price]]</f>
        <v>0.7</v>
      </c>
      <c r="M7" s="18">
        <f>internal_sales_data5[[#This Row],[Retail Price]]/internal_sales_data5[[#This Row],[Pack Size (ml)]]</f>
        <v>4.4999999999999998E-2</v>
      </c>
    </row>
    <row r="8" spans="1:13" x14ac:dyDescent="0.25">
      <c r="A8" t="s">
        <v>22</v>
      </c>
      <c r="B8" t="s">
        <v>84</v>
      </c>
      <c r="C8">
        <v>100</v>
      </c>
      <c r="D8" t="s">
        <v>85</v>
      </c>
      <c r="E8" s="12">
        <v>6</v>
      </c>
      <c r="F8" s="12">
        <v>3.5</v>
      </c>
      <c r="G8" s="12">
        <v>1.1499999999999999</v>
      </c>
      <c r="H8" s="9">
        <v>1089532</v>
      </c>
      <c r="I8" s="6">
        <f>internal_sales_data5[[#This Row],[Volume 2022]]*internal_sales_data5[[#This Row],[Net Price]]</f>
        <v>3813362</v>
      </c>
      <c r="J8" s="12">
        <f>internal_sales_data5[[#This Row],[Net Price]]-internal_sales_data5[[#This Row],[COGS]]</f>
        <v>2.35</v>
      </c>
      <c r="K8" s="6">
        <f>internal_sales_data5[[#This Row],[Gross Profit per unit]]*internal_sales_data5[[#This Row],[Volume 2022]]</f>
        <v>2560400.2000000002</v>
      </c>
      <c r="L8" s="14">
        <f>internal_sales_data5[[#This Row],[Gross Profit per unit]]/internal_sales_data5[[#This Row],[Net Price]]</f>
        <v>0.67142857142857149</v>
      </c>
      <c r="M8" s="18">
        <f>internal_sales_data5[[#This Row],[Retail Price]]/internal_sales_data5[[#This Row],[Pack Size (ml)]]</f>
        <v>0.06</v>
      </c>
    </row>
    <row r="9" spans="1:13" x14ac:dyDescent="0.25">
      <c r="A9" t="s">
        <v>22</v>
      </c>
      <c r="B9" t="s">
        <v>84</v>
      </c>
      <c r="C9">
        <v>125</v>
      </c>
      <c r="D9" t="s">
        <v>86</v>
      </c>
      <c r="E9" s="12">
        <v>7</v>
      </c>
      <c r="F9" s="12">
        <v>4.25</v>
      </c>
      <c r="G9" s="12">
        <v>1.3</v>
      </c>
      <c r="H9" s="9">
        <v>466942</v>
      </c>
      <c r="I9" s="6">
        <f>internal_sales_data5[[#This Row],[Volume 2022]]*internal_sales_data5[[#This Row],[Net Price]]</f>
        <v>1984503.5</v>
      </c>
      <c r="J9" s="12">
        <f>internal_sales_data5[[#This Row],[Net Price]]-internal_sales_data5[[#This Row],[COGS]]</f>
        <v>2.95</v>
      </c>
      <c r="K9" s="6">
        <f>internal_sales_data5[[#This Row],[Gross Profit per unit]]*internal_sales_data5[[#This Row],[Volume 2022]]</f>
        <v>1377478.9000000001</v>
      </c>
      <c r="L9" s="14">
        <f>internal_sales_data5[[#This Row],[Gross Profit per unit]]/internal_sales_data5[[#This Row],[Net Price]]</f>
        <v>0.69411764705882362</v>
      </c>
      <c r="M9" s="18">
        <f>internal_sales_data5[[#This Row],[Retail Price]]/internal_sales_data5[[#This Row],[Pack Size (ml)]]</f>
        <v>5.6000000000000001E-2</v>
      </c>
    </row>
    <row r="10" spans="1:13" x14ac:dyDescent="0.25">
      <c r="A10" t="s">
        <v>22</v>
      </c>
      <c r="B10" t="s">
        <v>84</v>
      </c>
      <c r="C10">
        <v>150</v>
      </c>
      <c r="D10" t="s">
        <v>87</v>
      </c>
      <c r="E10" s="12">
        <v>8</v>
      </c>
      <c r="F10" s="12">
        <v>5.0999999999999996</v>
      </c>
      <c r="G10" s="12">
        <v>1.5</v>
      </c>
      <c r="H10" s="9">
        <v>389118</v>
      </c>
      <c r="I10" s="6">
        <f>internal_sales_data5[[#This Row],[Volume 2022]]*internal_sales_data5[[#This Row],[Net Price]]</f>
        <v>1984501.7999999998</v>
      </c>
      <c r="J10" s="12">
        <f>internal_sales_data5[[#This Row],[Net Price]]-internal_sales_data5[[#This Row],[COGS]]</f>
        <v>3.5999999999999996</v>
      </c>
      <c r="K10" s="6">
        <f>internal_sales_data5[[#This Row],[Gross Profit per unit]]*internal_sales_data5[[#This Row],[Volume 2022]]</f>
        <v>1400824.7999999998</v>
      </c>
      <c r="L10" s="14">
        <f>internal_sales_data5[[#This Row],[Gross Profit per unit]]/internal_sales_data5[[#This Row],[Net Price]]</f>
        <v>0.70588235294117641</v>
      </c>
      <c r="M10" s="18">
        <f>internal_sales_data5[[#This Row],[Retail Price]]/internal_sales_data5[[#This Row],[Pack Size (ml)]]</f>
        <v>5.3333333333333337E-2</v>
      </c>
    </row>
    <row r="11" spans="1:13" x14ac:dyDescent="0.25">
      <c r="A11" t="s">
        <v>22</v>
      </c>
      <c r="B11" t="s">
        <v>84</v>
      </c>
      <c r="C11">
        <v>200</v>
      </c>
      <c r="D11" t="s">
        <v>88</v>
      </c>
      <c r="E11" s="12">
        <v>10</v>
      </c>
      <c r="F11" s="12">
        <v>6</v>
      </c>
      <c r="G11" s="12">
        <v>1.7</v>
      </c>
      <c r="H11" s="9">
        <v>233471</v>
      </c>
      <c r="I11" s="6">
        <f>internal_sales_data5[[#This Row],[Volume 2022]]*internal_sales_data5[[#This Row],[Net Price]]</f>
        <v>1400826</v>
      </c>
      <c r="J11" s="12">
        <f>internal_sales_data5[[#This Row],[Net Price]]-internal_sales_data5[[#This Row],[COGS]]</f>
        <v>4.3</v>
      </c>
      <c r="K11" s="6">
        <f>internal_sales_data5[[#This Row],[Gross Profit per unit]]*internal_sales_data5[[#This Row],[Volume 2022]]</f>
        <v>1003925.2999999999</v>
      </c>
      <c r="L11" s="14">
        <f>internal_sales_data5[[#This Row],[Gross Profit per unit]]/internal_sales_data5[[#This Row],[Net Price]]</f>
        <v>0.71666666666666667</v>
      </c>
      <c r="M11" s="18">
        <f>internal_sales_data5[[#This Row],[Retail Price]]/internal_sales_data5[[#This Row],[Pack Size (ml)]]</f>
        <v>0.05</v>
      </c>
    </row>
    <row r="12" spans="1:13" x14ac:dyDescent="0.25">
      <c r="A12" t="s">
        <v>57</v>
      </c>
      <c r="B12" t="s">
        <v>75</v>
      </c>
      <c r="C12">
        <v>50</v>
      </c>
      <c r="D12" t="str">
        <f>internal_sales_data5[[#This Row],[Brand]]&amp;" "&amp;internal_sales_data5[[#This Row],[Product]]&amp;" "&amp;internal_sales_data5[[#This Row],[Pack Size (ml)]]&amp;"ml"</f>
        <v>Starbust Ultra Soft 50ml</v>
      </c>
      <c r="E12" s="12">
        <f>internal_sales_data5[[#This Row],[Pack Size (ml)]]*M2*(1+50%)</f>
        <v>3.75</v>
      </c>
      <c r="F12" s="12">
        <v>2.2999999999999998</v>
      </c>
      <c r="G12" s="12">
        <v>0.7</v>
      </c>
      <c r="H12" s="9">
        <f>H2*10%</f>
        <v>115634.8</v>
      </c>
      <c r="I12" s="6">
        <f>internal_sales_data5[[#This Row],[Volume 2022]]*internal_sales_data5[[#This Row],[Net Price]]</f>
        <v>265960.03999999998</v>
      </c>
      <c r="J12" s="12">
        <f>internal_sales_data5[[#This Row],[Net Price]]-internal_sales_data5[[#This Row],[COGS]]</f>
        <v>1.5999999999999999</v>
      </c>
      <c r="K12" s="6">
        <f>internal_sales_data5[[#This Row],[Gross Profit per unit]]*internal_sales_data5[[#This Row],[Volume 2022]]</f>
        <v>185015.67999999999</v>
      </c>
      <c r="L12" s="14">
        <f>internal_sales_data5[[#This Row],[Gross Profit per unit]]/internal_sales_data5[[#This Row],[Net Price]]</f>
        <v>0.69565217391304346</v>
      </c>
      <c r="M12" s="18">
        <f>internal_sales_data5[[#This Row],[Retail Price]]/internal_sales_data5[[#This Row],[Pack Size (ml)]]</f>
        <v>7.4999999999999997E-2</v>
      </c>
    </row>
    <row r="22" spans="9:9" x14ac:dyDescent="0.25">
      <c r="I22" s="1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ABC8-4EDC-47F9-8C56-49B1832E2E35}">
  <dimension ref="A1:J4"/>
  <sheetViews>
    <sheetView workbookViewId="0">
      <selection activeCell="F2" sqref="F2:H4"/>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4.28515625" bestFit="1" customWidth="1"/>
    <col min="7" max="7" width="16.42578125" bestFit="1" customWidth="1"/>
    <col min="8" max="8" width="12.42578125" bestFit="1" customWidth="1"/>
    <col min="9" max="9" width="12" bestFit="1" customWidth="1"/>
    <col min="10" max="10" width="6.42578125" bestFit="1" customWidth="1"/>
  </cols>
  <sheetData>
    <row r="1" spans="1:10" x14ac:dyDescent="0.25">
      <c r="A1" t="s">
        <v>103</v>
      </c>
      <c r="B1" t="s">
        <v>104</v>
      </c>
      <c r="C1" t="s">
        <v>2</v>
      </c>
      <c r="D1" t="s">
        <v>4</v>
      </c>
      <c r="E1" t="s">
        <v>5</v>
      </c>
      <c r="F1" t="s">
        <v>105</v>
      </c>
      <c r="G1" t="s">
        <v>106</v>
      </c>
      <c r="H1" t="s">
        <v>107</v>
      </c>
      <c r="I1" t="s">
        <v>123</v>
      </c>
      <c r="J1" t="s">
        <v>108</v>
      </c>
    </row>
    <row r="2" spans="1:10" x14ac:dyDescent="0.25">
      <c r="A2">
        <v>1</v>
      </c>
      <c r="B2" t="s">
        <v>109</v>
      </c>
      <c r="C2" t="s">
        <v>22</v>
      </c>
      <c r="D2">
        <v>2022</v>
      </c>
      <c r="E2">
        <v>4</v>
      </c>
      <c r="F2" s="19">
        <f>VLOOKUP(promotion_analysis[[#This Row],[Month]],'Promotion Graph'!$A$5:$B$16,2,FALSE)</f>
        <v>1445626</v>
      </c>
      <c r="G2" s="19">
        <f>AVERAGE('Promotion Graph'!$B$5:$B$7,'Promotion Graph'!$B$9:$B$11,'Promotion Graph'!$B$13:$B$14,'Promotion Graph'!$B$16)</f>
        <v>840835.5555555555</v>
      </c>
      <c r="H2" s="19">
        <f>promotion_analysis[[#This Row],[Value sales]]-promotion_analysis[[#This Row],[Baseline sales ]]</f>
        <v>604790.4444444445</v>
      </c>
      <c r="I2" s="1">
        <v>620000</v>
      </c>
      <c r="J2" s="14">
        <f>(promotion_analysis[[#This Row],[Uplift]]-promotion_analysis[[#This Row],[Cost]])/promotion_analysis[[#This Row],[Cost]]</f>
        <v>-2.453154121863791E-2</v>
      </c>
    </row>
    <row r="3" spans="1:10" x14ac:dyDescent="0.25">
      <c r="A3">
        <v>2</v>
      </c>
      <c r="B3" t="s">
        <v>110</v>
      </c>
      <c r="C3" t="s">
        <v>22</v>
      </c>
      <c r="D3">
        <v>2022</v>
      </c>
      <c r="E3">
        <v>8</v>
      </c>
      <c r="F3" s="19">
        <f>VLOOKUP(promotion_analysis[[#This Row],[Month]],'Promotion Graph'!$A$5:$B$16,2,FALSE)</f>
        <v>1198708</v>
      </c>
      <c r="G3" s="19">
        <f>AVERAGE('Promotion Graph'!$B$5:$B$7,'Promotion Graph'!$B$9:$B$11,'Promotion Graph'!$B$13:$B$14,'Promotion Graph'!$B$16)</f>
        <v>840835.5555555555</v>
      </c>
      <c r="H3" s="19">
        <f>promotion_analysis[[#This Row],[Value sales]]-promotion_analysis[[#This Row],[Baseline sales ]]</f>
        <v>357872.4444444445</v>
      </c>
      <c r="I3" s="1">
        <v>320000</v>
      </c>
      <c r="J3" s="14">
        <f>(promotion_analysis[[#This Row],[Uplift]]-promotion_analysis[[#This Row],[Cost]])/promotion_analysis[[#This Row],[Cost]]</f>
        <v>0.11835138888888905</v>
      </c>
    </row>
    <row r="4" spans="1:10" x14ac:dyDescent="0.25">
      <c r="A4">
        <v>3</v>
      </c>
      <c r="B4" t="s">
        <v>111</v>
      </c>
      <c r="C4" t="s">
        <v>22</v>
      </c>
      <c r="D4">
        <v>2022</v>
      </c>
      <c r="E4">
        <v>11</v>
      </c>
      <c r="F4" s="19">
        <f>VLOOKUP(promotion_analysis[[#This Row],[Month]],'Promotion Graph'!$A$5:$B$16,2,FALSE)</f>
        <v>1413646</v>
      </c>
      <c r="G4" s="19">
        <f>AVERAGE('Promotion Graph'!$B$5:$B$7,'Promotion Graph'!$B$9:$B$11,'Promotion Graph'!$B$13:$B$14,'Promotion Graph'!$B$16)</f>
        <v>840835.5555555555</v>
      </c>
      <c r="H4" s="19">
        <f>promotion_analysis[[#This Row],[Value sales]]-promotion_analysis[[#This Row],[Baseline sales ]]</f>
        <v>572810.4444444445</v>
      </c>
      <c r="I4" s="1">
        <v>540000</v>
      </c>
      <c r="J4" s="14">
        <f>(promotion_analysis[[#This Row],[Uplift]]-promotion_analysis[[#This Row],[Cost]])/promotion_analysis[[#This Row],[Cost]]</f>
        <v>6.0760082304526848E-2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12DA7-0A11-4E60-BCFA-30F38554F93C}">
  <dimension ref="A1:B20"/>
  <sheetViews>
    <sheetView workbookViewId="0">
      <selection activeCell="B5" sqref="B5:B17"/>
    </sheetView>
  </sheetViews>
  <sheetFormatPr defaultRowHeight="15" x14ac:dyDescent="0.25"/>
  <cols>
    <col min="1" max="1" width="13.140625" bestFit="1" customWidth="1"/>
    <col min="2" max="2" width="20.28515625" bestFit="1" customWidth="1"/>
    <col min="3" max="3" width="11.28515625" bestFit="1" customWidth="1"/>
    <col min="4" max="4" width="14.57031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8" bestFit="1" customWidth="1"/>
    <col min="12" max="12" width="5.7109375" bestFit="1" customWidth="1"/>
    <col min="13" max="13" width="13.28515625" bestFit="1" customWidth="1"/>
    <col min="14" max="14" width="8" bestFit="1" customWidth="1"/>
    <col min="15" max="15" width="12" bestFit="1" customWidth="1"/>
    <col min="16" max="16" width="9" bestFit="1" customWidth="1"/>
    <col min="17" max="17" width="13.7109375" bestFit="1" customWidth="1"/>
    <col min="18" max="18" width="8.7109375" bestFit="1" customWidth="1"/>
    <col min="19" max="19" width="6.5703125" bestFit="1" customWidth="1"/>
    <col min="20" max="20" width="6.85546875" bestFit="1" customWidth="1"/>
    <col min="21" max="21" width="8.28515625" bestFit="1" customWidth="1"/>
    <col min="22" max="22" width="9.85546875" bestFit="1" customWidth="1"/>
    <col min="23" max="23" width="7.7109375" bestFit="1" customWidth="1"/>
    <col min="24" max="24" width="6.140625" bestFit="1" customWidth="1"/>
    <col min="25" max="25" width="11.85546875" bestFit="1" customWidth="1"/>
    <col min="26" max="26" width="14.85546875" bestFit="1" customWidth="1"/>
    <col min="27" max="27" width="11.28515625" bestFit="1" customWidth="1"/>
  </cols>
  <sheetData>
    <row r="1" spans="1:2" x14ac:dyDescent="0.25">
      <c r="A1" s="2" t="s">
        <v>2</v>
      </c>
      <c r="B1" t="s">
        <v>22</v>
      </c>
    </row>
    <row r="2" spans="1:2" x14ac:dyDescent="0.25">
      <c r="A2" s="2" t="s">
        <v>4</v>
      </c>
      <c r="B2" s="3">
        <v>2022</v>
      </c>
    </row>
    <row r="4" spans="1:2" x14ac:dyDescent="0.25">
      <c r="A4" s="2" t="s">
        <v>58</v>
      </c>
      <c r="B4" t="s">
        <v>61</v>
      </c>
    </row>
    <row r="5" spans="1:2" x14ac:dyDescent="0.25">
      <c r="A5" s="3">
        <v>1</v>
      </c>
      <c r="B5" s="20">
        <v>849590</v>
      </c>
    </row>
    <row r="6" spans="1:2" x14ac:dyDescent="0.25">
      <c r="A6" s="3">
        <v>2</v>
      </c>
      <c r="B6" s="20">
        <v>822290</v>
      </c>
    </row>
    <row r="7" spans="1:2" x14ac:dyDescent="0.25">
      <c r="A7" s="3">
        <v>3</v>
      </c>
      <c r="B7" s="20">
        <v>827649</v>
      </c>
    </row>
    <row r="8" spans="1:2" x14ac:dyDescent="0.25">
      <c r="A8" s="3">
        <v>4</v>
      </c>
      <c r="B8" s="20">
        <v>1445626</v>
      </c>
    </row>
    <row r="9" spans="1:2" x14ac:dyDescent="0.25">
      <c r="A9" s="3">
        <v>5</v>
      </c>
      <c r="B9" s="20">
        <v>874089</v>
      </c>
    </row>
    <row r="10" spans="1:2" x14ac:dyDescent="0.25">
      <c r="A10" s="3">
        <v>6</v>
      </c>
      <c r="B10" s="20">
        <v>876087</v>
      </c>
    </row>
    <row r="11" spans="1:2" x14ac:dyDescent="0.25">
      <c r="A11" s="3">
        <v>7</v>
      </c>
      <c r="B11" s="20">
        <v>842454</v>
      </c>
    </row>
    <row r="12" spans="1:2" x14ac:dyDescent="0.25">
      <c r="A12" s="3">
        <v>8</v>
      </c>
      <c r="B12" s="20">
        <v>1198708</v>
      </c>
    </row>
    <row r="13" spans="1:2" x14ac:dyDescent="0.25">
      <c r="A13" s="3">
        <v>9</v>
      </c>
      <c r="B13" s="20">
        <v>853650</v>
      </c>
    </row>
    <row r="14" spans="1:2" x14ac:dyDescent="0.25">
      <c r="A14" s="3">
        <v>10</v>
      </c>
      <c r="B14" s="20">
        <v>816480</v>
      </c>
    </row>
    <row r="15" spans="1:2" x14ac:dyDescent="0.25">
      <c r="A15" s="3">
        <v>11</v>
      </c>
      <c r="B15" s="20">
        <v>1413646</v>
      </c>
    </row>
    <row r="16" spans="1:2" x14ac:dyDescent="0.25">
      <c r="A16" s="3">
        <v>12</v>
      </c>
      <c r="B16" s="20">
        <v>805231</v>
      </c>
    </row>
    <row r="17" spans="1:2" x14ac:dyDescent="0.25">
      <c r="A17" s="3" t="s">
        <v>59</v>
      </c>
      <c r="B17" s="20">
        <v>11625500</v>
      </c>
    </row>
    <row r="20" spans="1:2" x14ac:dyDescent="0.25">
      <c r="B20" s="11"/>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E3D3-245C-4534-9BE0-2288925C677B}">
  <dimension ref="A1:G8"/>
  <sheetViews>
    <sheetView workbookViewId="0">
      <selection activeCell="R5" sqref="R5:R6"/>
    </sheetView>
  </sheetViews>
  <sheetFormatPr defaultRowHeight="15" x14ac:dyDescent="0.25"/>
  <cols>
    <col min="1" max="1" width="11" customWidth="1"/>
    <col min="2" max="3" width="12.28515625" bestFit="1" customWidth="1"/>
    <col min="4" max="4" width="25.28515625" customWidth="1"/>
    <col min="5" max="5" width="25.42578125" customWidth="1"/>
    <col min="6" max="6" width="12.28515625" bestFit="1" customWidth="1"/>
  </cols>
  <sheetData>
    <row r="1" spans="1:7" x14ac:dyDescent="0.25">
      <c r="A1" t="s">
        <v>112</v>
      </c>
      <c r="B1" t="s">
        <v>113</v>
      </c>
      <c r="C1" t="s">
        <v>114</v>
      </c>
      <c r="D1" t="s">
        <v>115</v>
      </c>
      <c r="E1" t="s">
        <v>116</v>
      </c>
      <c r="F1" t="s">
        <v>101</v>
      </c>
      <c r="G1" t="s">
        <v>117</v>
      </c>
    </row>
    <row r="2" spans="1:7" x14ac:dyDescent="0.25">
      <c r="A2">
        <v>2018</v>
      </c>
      <c r="B2" s="1">
        <v>30685269</v>
      </c>
      <c r="F2" s="1"/>
      <c r="G2" s="1"/>
    </row>
    <row r="3" spans="1:7" x14ac:dyDescent="0.25">
      <c r="A3">
        <v>2019</v>
      </c>
      <c r="B3" s="1">
        <v>29261549</v>
      </c>
      <c r="F3" s="1"/>
      <c r="G3" s="1"/>
    </row>
    <row r="4" spans="1:7" x14ac:dyDescent="0.25">
      <c r="A4">
        <v>2020</v>
      </c>
      <c r="B4" s="1">
        <v>30370933</v>
      </c>
      <c r="F4" s="1"/>
      <c r="G4" s="1"/>
    </row>
    <row r="5" spans="1:7" x14ac:dyDescent="0.25">
      <c r="A5">
        <v>2021</v>
      </c>
      <c r="B5" s="1">
        <v>30710796</v>
      </c>
      <c r="F5" s="1"/>
      <c r="G5" s="1"/>
    </row>
    <row r="6" spans="1:7" x14ac:dyDescent="0.25">
      <c r="A6">
        <v>2022</v>
      </c>
      <c r="B6" s="1">
        <v>31442892</v>
      </c>
      <c r="C6" s="1">
        <v>31442892</v>
      </c>
      <c r="D6" s="1">
        <v>31442892</v>
      </c>
      <c r="E6" s="1">
        <v>31442892</v>
      </c>
      <c r="F6" s="1">
        <f>internal_sales_data[[#Totals],[Net Sales 2022]]</f>
        <v>20480714.900000002</v>
      </c>
      <c r="G6" s="14">
        <f>Table7[[#This Row],[Net Sales]]/Table7[[#This Row],[Values]]</f>
        <v>0.65136231425531732</v>
      </c>
    </row>
    <row r="7" spans="1:7" x14ac:dyDescent="0.25">
      <c r="A7">
        <v>2023</v>
      </c>
      <c r="C7" s="1">
        <f>_xlfn.FORECAST.ETS(A7,$B$2:$B$6,$A$2:$A$6,1,1)</f>
        <v>31635324.071610071</v>
      </c>
      <c r="D7" s="1">
        <f>C7-_xlfn.FORECAST.ETS.CONFINT(A7,$B$2:$B$6,$A$2:$A$6,0.95,1,1)</f>
        <v>30014004.36554271</v>
      </c>
      <c r="E7" s="1">
        <f>C7+_xlfn.FORECAST.ETS.CONFINT(A7,$B$2:$B$6,$A$2:$A$6,0.95,1,1)</f>
        <v>33256643.777677432</v>
      </c>
      <c r="F7" s="1">
        <f>Table7[[#This Row],[Forecast]]*$G$6</f>
        <v>20606057.899500884</v>
      </c>
      <c r="G7" s="1"/>
    </row>
    <row r="8" spans="1:7" x14ac:dyDescent="0.25">
      <c r="A8">
        <v>2024</v>
      </c>
      <c r="C8" s="1">
        <f>_xlfn.FORECAST.ETS(A8,$B$2:$B$6,$A$2:$A$6,1,1)</f>
        <v>31946447.752088487</v>
      </c>
      <c r="D8" s="1">
        <f>C8-_xlfn.FORECAST.ETS.CONFINT(A8,$B$2:$B$6,$A$2:$A$6,0.95,1,1)</f>
        <v>30274835.684028216</v>
      </c>
      <c r="E8" s="1">
        <f>C8+_xlfn.FORECAST.ETS.CONFINT(A8,$B$2:$B$6,$A$2:$A$6,0.95,1,1)</f>
        <v>33618059.820148759</v>
      </c>
      <c r="F8" s="1">
        <f>Table7[[#This Row],[Forecast]]*$G$6</f>
        <v>20808712.140036937</v>
      </c>
      <c r="G8" s="1"/>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1347-2247-46B2-97DF-6EB6AE6D6266}">
  <dimension ref="A1:B8"/>
  <sheetViews>
    <sheetView workbookViewId="0">
      <selection activeCell="R5" sqref="R5:R6"/>
    </sheetView>
  </sheetViews>
  <sheetFormatPr defaultRowHeight="15" x14ac:dyDescent="0.25"/>
  <cols>
    <col min="1" max="1" width="13.140625" bestFit="1" customWidth="1"/>
    <col min="2" max="2" width="20.28515625" bestFit="1" customWidth="1"/>
  </cols>
  <sheetData>
    <row r="1" spans="1:2" x14ac:dyDescent="0.25">
      <c r="A1" s="2" t="s">
        <v>1</v>
      </c>
      <c r="B1" t="s">
        <v>21</v>
      </c>
    </row>
    <row r="3" spans="1:2" x14ac:dyDescent="0.25">
      <c r="A3" s="2" t="s">
        <v>58</v>
      </c>
      <c r="B3" t="s">
        <v>61</v>
      </c>
    </row>
    <row r="4" spans="1:2" x14ac:dyDescent="0.25">
      <c r="A4" s="3">
        <v>2018</v>
      </c>
      <c r="B4" s="1">
        <v>30685269</v>
      </c>
    </row>
    <row r="5" spans="1:2" x14ac:dyDescent="0.25">
      <c r="A5" s="3">
        <v>2019</v>
      </c>
      <c r="B5" s="1">
        <v>29261549</v>
      </c>
    </row>
    <row r="6" spans="1:2" x14ac:dyDescent="0.25">
      <c r="A6" s="3">
        <v>2020</v>
      </c>
      <c r="B6" s="1">
        <v>30370933</v>
      </c>
    </row>
    <row r="7" spans="1:2" x14ac:dyDescent="0.25">
      <c r="A7" s="3">
        <v>2021</v>
      </c>
      <c r="B7" s="1">
        <v>30710796</v>
      </c>
    </row>
    <row r="8" spans="1:2" x14ac:dyDescent="0.25">
      <c r="A8" s="3">
        <v>2022</v>
      </c>
      <c r="B8" s="1">
        <v>31442892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081C7-67C4-4852-A8FF-5FAAAAF83A82}">
  <dimension ref="A1:E2"/>
  <sheetViews>
    <sheetView tabSelected="1" workbookViewId="0">
      <selection activeCell="D3" sqref="D3"/>
    </sheetView>
  </sheetViews>
  <sheetFormatPr defaultRowHeight="15" x14ac:dyDescent="0.25"/>
  <cols>
    <col min="1" max="1" width="23.42578125" bestFit="1" customWidth="1"/>
    <col min="2" max="2" width="18" bestFit="1" customWidth="1"/>
    <col min="3" max="3" width="16.42578125" bestFit="1" customWidth="1"/>
    <col min="4" max="4" width="14.28515625" bestFit="1" customWidth="1"/>
    <col min="5" max="5" width="23.42578125" bestFit="1" customWidth="1"/>
  </cols>
  <sheetData>
    <row r="1" spans="1:5" x14ac:dyDescent="0.25">
      <c r="A1" t="s">
        <v>118</v>
      </c>
      <c r="B1" t="s">
        <v>122</v>
      </c>
      <c r="C1" t="s">
        <v>119</v>
      </c>
      <c r="D1" t="s">
        <v>126</v>
      </c>
      <c r="E1" t="s">
        <v>121</v>
      </c>
    </row>
    <row r="2" spans="1:5" x14ac:dyDescent="0.25">
      <c r="A2" s="13">
        <f>'Forecast 2024'!F7</f>
        <v>20606057.899500884</v>
      </c>
      <c r="B2" s="13">
        <f>'Forecast 2024'!F8-'Forecast 2024'!F7</f>
        <v>202654.24053605273</v>
      </c>
      <c r="C2" s="13">
        <f>'Organic Shampoo Launch'!E3</f>
        <v>336896.60399999993</v>
      </c>
      <c r="D2" s="13">
        <f>'50ml Shampoo 2024'!I12</f>
        <v>265960.03999999998</v>
      </c>
      <c r="E2" s="1">
        <f>SUM(A2:D2)</f>
        <v>21411568.784036934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ca0371a-fdd3-4cae-890d-dd2ca5a17d80" xsi:nil="true"/>
    <lcf76f155ced4ddcb4097134ff3c332f xmlns="f3fdb05f-ec41-4bb4-861d-573173e7bf8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85E50DA7425FE40ACD84704FD7B236D" ma:contentTypeVersion="11" ma:contentTypeDescription="Create a new document." ma:contentTypeScope="" ma:versionID="bf8b0a1cb0a2f84327f4c6d24a2ba7ac">
  <xsd:schema xmlns:xsd="http://www.w3.org/2001/XMLSchema" xmlns:xs="http://www.w3.org/2001/XMLSchema" xmlns:p="http://schemas.microsoft.com/office/2006/metadata/properties" xmlns:ns2="f3fdb05f-ec41-4bb4-861d-573173e7bf84" xmlns:ns3="dca0371a-fdd3-4cae-890d-dd2ca5a17d80" targetNamespace="http://schemas.microsoft.com/office/2006/metadata/properties" ma:root="true" ma:fieldsID="7e0610ecfb2ad9c2b132845c8c2c22fe" ns2:_="" ns3:_="">
    <xsd:import namespace="f3fdb05f-ec41-4bb4-861d-573173e7bf84"/>
    <xsd:import namespace="dca0371a-fdd3-4cae-890d-dd2ca5a17d80"/>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fdb05f-ec41-4bb4-861d-573173e7bf84"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16104bcc-5c37-49f8-9d42-150154dba522"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a0371a-fdd3-4cae-890d-dd2ca5a17d80"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d98379e5-bc57-4da9-ae8b-bc208812e792}" ma:internalName="TaxCatchAll" ma:showField="CatchAllData" ma:web="dca0371a-fdd3-4cae-890d-dd2ca5a17d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6CCC06D9-D2B4-4936-8D88-171C846A3FA4}">
  <ds:schemaRefs>
    <ds:schemaRef ds:uri="http://schemas.microsoft.com/office/2006/metadata/properties"/>
    <ds:schemaRef ds:uri="http://schemas.microsoft.com/office/infopath/2007/PartnerControls"/>
    <ds:schemaRef ds:uri="dca0371a-fdd3-4cae-890d-dd2ca5a17d80"/>
    <ds:schemaRef ds:uri="f3fdb05f-ec41-4bb4-861d-573173e7bf84"/>
  </ds:schemaRefs>
</ds:datastoreItem>
</file>

<file path=customXml/itemProps2.xml><?xml version="1.0" encoding="utf-8"?>
<ds:datastoreItem xmlns:ds="http://schemas.openxmlformats.org/officeDocument/2006/customXml" ds:itemID="{FF394ACF-6130-4947-97FE-A560C7B6E737}">
  <ds:schemaRefs>
    <ds:schemaRef ds:uri="http://schemas.microsoft.com/sharepoint/v3/contenttype/forms"/>
  </ds:schemaRefs>
</ds:datastoreItem>
</file>

<file path=customXml/itemProps3.xml><?xml version="1.0" encoding="utf-8"?>
<ds:datastoreItem xmlns:ds="http://schemas.openxmlformats.org/officeDocument/2006/customXml" ds:itemID="{36FD4523-67D8-4D99-9C3B-55FEFD1949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fdb05f-ec41-4bb4-861d-573173e7bf84"/>
    <ds:schemaRef ds:uri="dca0371a-fdd3-4cae-890d-dd2ca5a17d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HealthMax Growth</vt:lpstr>
      <vt:lpstr>MAT Value Total Category</vt:lpstr>
      <vt:lpstr>Market Share</vt:lpstr>
      <vt:lpstr>External Data</vt:lpstr>
      <vt:lpstr>Profitability Matrix</vt:lpstr>
      <vt:lpstr>Internal Sales Data</vt:lpstr>
      <vt:lpstr>New Category Opportunity</vt:lpstr>
      <vt:lpstr>Organic Shampoo Launch</vt:lpstr>
      <vt:lpstr>50ml Shampoo 2024</vt:lpstr>
      <vt:lpstr>Promotion Analysis</vt:lpstr>
      <vt:lpstr>Promotion Graph</vt:lpstr>
      <vt:lpstr>Forecast 2024</vt:lpstr>
      <vt:lpstr>Sales until 2022</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Noor Al-Omari</cp:lastModifiedBy>
  <dcterms:created xsi:type="dcterms:W3CDTF">2022-06-08T14:08:07Z</dcterms:created>
  <dcterms:modified xsi:type="dcterms:W3CDTF">2025-03-06T00:14:51Z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0x010100A85E50DA7425FE40ACD84704FD7B236D</vt:lpwstr>
  </property>
</Properties>
</file>