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75BC85D5-3016-41B4-BAF3-6F0D440A4228}" xr6:coauthVersionLast="45" xr6:coauthVersionMax="45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Details" sheetId="1" r:id="rId1"/>
    <sheet name="FastFood" sheetId="2" r:id="rId2"/>
    <sheet name="TakeAway" sheetId="4" r:id="rId3"/>
    <sheet name="NPW" sheetId="5" r:id="rId4"/>
    <sheet name="NFW" sheetId="6" r:id="rId5"/>
    <sheet name="Annual" sheetId="7" r:id="rId6"/>
    <sheet name="BenefitCost" sheetId="8" r:id="rId7"/>
    <sheet name="RoR &amp; PP" sheetId="9" r:id="rId8"/>
    <sheet name="Sensitivity1" sheetId="11" r:id="rId9"/>
    <sheet name="Sensitivity2" sheetId="13" r:id="rId10"/>
    <sheet name="Sensitivity3" sheetId="14" r:id="rId11"/>
    <sheet name="Sensitivity4" sheetId="15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4" l="1"/>
  <c r="L3" i="14" l="1"/>
  <c r="E5" i="13" l="1"/>
  <c r="E6" i="13"/>
  <c r="E7" i="13"/>
  <c r="E8" i="13"/>
  <c r="E9" i="13"/>
  <c r="E10" i="13"/>
  <c r="E11" i="13"/>
  <c r="E12" i="13"/>
  <c r="E4" i="13"/>
  <c r="B5" i="13"/>
  <c r="B6" i="13"/>
  <c r="B7" i="13"/>
  <c r="B8" i="13"/>
  <c r="B9" i="13"/>
  <c r="B10" i="13"/>
  <c r="B11" i="13"/>
  <c r="B12" i="13"/>
  <c r="B4" i="13"/>
  <c r="Q21" i="8" l="1"/>
  <c r="Q18" i="8"/>
  <c r="Q15" i="8"/>
  <c r="K5" i="9" l="1"/>
  <c r="K6" i="9"/>
  <c r="K7" i="9"/>
  <c r="K8" i="9"/>
  <c r="K9" i="9"/>
  <c r="K10" i="9"/>
  <c r="K11" i="9"/>
  <c r="K12" i="9"/>
  <c r="D14" i="9"/>
  <c r="H8" i="9"/>
  <c r="H12" i="9"/>
  <c r="H11" i="9"/>
  <c r="H10" i="9"/>
  <c r="H9" i="9"/>
  <c r="H7" i="9"/>
  <c r="H6" i="9"/>
  <c r="H5" i="9"/>
  <c r="G12" i="9"/>
  <c r="G11" i="9"/>
  <c r="G10" i="9"/>
  <c r="G9" i="9"/>
  <c r="G8" i="9"/>
  <c r="G7" i="9"/>
  <c r="G5" i="9"/>
  <c r="G6" i="9"/>
  <c r="C12" i="9"/>
  <c r="C11" i="9"/>
  <c r="C10" i="9"/>
  <c r="B12" i="9"/>
  <c r="C9" i="9"/>
  <c r="C7" i="9"/>
  <c r="C5" i="9"/>
  <c r="B11" i="9"/>
  <c r="B10" i="9"/>
  <c r="B9" i="9"/>
  <c r="B8" i="9"/>
  <c r="C8" i="9" s="1"/>
  <c r="B6" i="9"/>
  <c r="C6" i="9" s="1"/>
  <c r="B7" i="9"/>
  <c r="B4" i="9"/>
  <c r="C4" i="9" s="1"/>
  <c r="D4" i="9" s="1"/>
  <c r="B5" i="9"/>
  <c r="I6" i="2"/>
  <c r="D5" i="9" l="1"/>
  <c r="D6" i="9" s="1"/>
  <c r="D7" i="9" s="1"/>
  <c r="D8" i="9" s="1"/>
  <c r="D9" i="9" s="1"/>
  <c r="D10" i="9" s="1"/>
  <c r="D11" i="9" s="1"/>
  <c r="D12" i="9" s="1"/>
  <c r="F35" i="8"/>
  <c r="F33" i="8"/>
  <c r="F31" i="8"/>
  <c r="F7" i="8"/>
  <c r="F5" i="8"/>
  <c r="F3" i="8"/>
  <c r="H43" i="7" l="1"/>
  <c r="H42" i="7"/>
  <c r="H41" i="7"/>
  <c r="H40" i="7"/>
  <c r="H39" i="7"/>
  <c r="H38" i="7"/>
  <c r="H37" i="7"/>
  <c r="H36" i="7"/>
  <c r="H32" i="7"/>
  <c r="H31" i="7"/>
  <c r="H30" i="7"/>
  <c r="H29" i="7"/>
  <c r="H28" i="7"/>
  <c r="H27" i="7"/>
  <c r="H26" i="7"/>
  <c r="H25" i="7"/>
  <c r="H8" i="7"/>
  <c r="H10" i="7"/>
  <c r="H9" i="7"/>
  <c r="H7" i="7"/>
  <c r="H6" i="7"/>
  <c r="H5" i="7"/>
  <c r="H4" i="7"/>
  <c r="H3" i="7"/>
  <c r="H2" i="7"/>
  <c r="K2" i="7" l="1"/>
  <c r="K2" i="6"/>
  <c r="K36" i="7"/>
  <c r="F3" i="7"/>
  <c r="F4" i="7"/>
  <c r="F5" i="7"/>
  <c r="F6" i="7"/>
  <c r="F7" i="7"/>
  <c r="F8" i="7"/>
  <c r="F9" i="7"/>
  <c r="F10" i="7"/>
  <c r="F25" i="7"/>
  <c r="F26" i="7"/>
  <c r="F27" i="7"/>
  <c r="F28" i="7"/>
  <c r="F29" i="7"/>
  <c r="F30" i="7"/>
  <c r="F31" i="7"/>
  <c r="F32" i="7"/>
  <c r="F36" i="7"/>
  <c r="F37" i="7"/>
  <c r="F38" i="7"/>
  <c r="F39" i="7"/>
  <c r="F40" i="7"/>
  <c r="F41" i="7"/>
  <c r="F42" i="7"/>
  <c r="F43" i="7"/>
  <c r="F2" i="7"/>
  <c r="F37" i="6" l="1"/>
  <c r="F38" i="6"/>
  <c r="F39" i="6"/>
  <c r="F40" i="6"/>
  <c r="F41" i="6"/>
  <c r="F42" i="6"/>
  <c r="F43" i="6"/>
  <c r="F36" i="6"/>
  <c r="F25" i="6"/>
  <c r="F26" i="6"/>
  <c r="F27" i="6"/>
  <c r="F28" i="6"/>
  <c r="F29" i="6"/>
  <c r="F30" i="6"/>
  <c r="F31" i="6"/>
  <c r="F32" i="6"/>
  <c r="F3" i="6"/>
  <c r="F4" i="6"/>
  <c r="F5" i="6"/>
  <c r="F6" i="6"/>
  <c r="F7" i="6"/>
  <c r="F8" i="6"/>
  <c r="F9" i="6"/>
  <c r="F10" i="6"/>
  <c r="F2" i="6"/>
  <c r="H4" i="6" l="1"/>
  <c r="H3" i="6"/>
  <c r="H43" i="6"/>
  <c r="H42" i="6"/>
  <c r="H41" i="6"/>
  <c r="H40" i="6"/>
  <c r="H39" i="6"/>
  <c r="H38" i="6"/>
  <c r="H37" i="6"/>
  <c r="H36" i="6"/>
  <c r="H32" i="6"/>
  <c r="H31" i="6"/>
  <c r="H30" i="6"/>
  <c r="H29" i="6"/>
  <c r="H28" i="6"/>
  <c r="H27" i="6"/>
  <c r="H26" i="6"/>
  <c r="H25" i="6"/>
  <c r="H10" i="6"/>
  <c r="H9" i="6"/>
  <c r="H8" i="6"/>
  <c r="H7" i="6"/>
  <c r="H6" i="6"/>
  <c r="H5" i="6"/>
  <c r="H2" i="6"/>
  <c r="K36" i="6" l="1"/>
  <c r="R46" i="1"/>
  <c r="R41" i="1"/>
  <c r="R58" i="1"/>
  <c r="S59" i="1" s="1"/>
  <c r="I6" i="4" s="1"/>
  <c r="R52" i="1"/>
  <c r="R51" i="1"/>
  <c r="R50" i="1"/>
  <c r="R49" i="1"/>
  <c r="R28" i="1"/>
  <c r="R23" i="1"/>
  <c r="R22" i="1"/>
  <c r="R19" i="1"/>
  <c r="R9" i="1"/>
  <c r="R8" i="1"/>
  <c r="R7" i="1"/>
  <c r="R10" i="1" l="1"/>
  <c r="F37" i="5"/>
  <c r="F43" i="5"/>
  <c r="F40" i="5"/>
  <c r="F42" i="5"/>
  <c r="F36" i="5"/>
  <c r="F41" i="5"/>
  <c r="F39" i="5"/>
  <c r="F38" i="5"/>
  <c r="R53" i="1"/>
  <c r="S54" i="1"/>
  <c r="K4" i="4" s="1"/>
  <c r="R24" i="1"/>
  <c r="G50" i="1"/>
  <c r="G25" i="1"/>
  <c r="G26" i="1"/>
  <c r="G54" i="1"/>
  <c r="G55" i="1"/>
  <c r="G56" i="1"/>
  <c r="G57" i="1"/>
  <c r="G53" i="1"/>
  <c r="G63" i="1"/>
  <c r="H64" i="1" s="1"/>
  <c r="G44" i="1"/>
  <c r="G31" i="1"/>
  <c r="G22" i="1"/>
  <c r="G8" i="1"/>
  <c r="G9" i="1"/>
  <c r="G10" i="1"/>
  <c r="G11" i="1"/>
  <c r="G7" i="1"/>
  <c r="S29" i="1" l="1"/>
  <c r="K2" i="4" s="1"/>
  <c r="G4" i="9" s="1"/>
  <c r="G27" i="1"/>
  <c r="I36" i="5"/>
  <c r="F31" i="5"/>
  <c r="F25" i="5"/>
  <c r="F30" i="5"/>
  <c r="F28" i="5"/>
  <c r="F29" i="5"/>
  <c r="F27" i="5"/>
  <c r="F32" i="5"/>
  <c r="F26" i="5"/>
  <c r="F14" i="5"/>
  <c r="F14" i="6" s="1"/>
  <c r="H14" i="6" s="1"/>
  <c r="F20" i="5"/>
  <c r="F20" i="6" s="1"/>
  <c r="H20" i="6" s="1"/>
  <c r="F20" i="7" s="1"/>
  <c r="H20" i="7" s="1"/>
  <c r="F21" i="5"/>
  <c r="F21" i="6" s="1"/>
  <c r="H21" i="6" s="1"/>
  <c r="F21" i="7" s="1"/>
  <c r="H21" i="7" s="1"/>
  <c r="F18" i="5"/>
  <c r="F18" i="6" s="1"/>
  <c r="H18" i="6" s="1"/>
  <c r="F18" i="7" s="1"/>
  <c r="H18" i="7" s="1"/>
  <c r="F15" i="5"/>
  <c r="F15" i="6" s="1"/>
  <c r="H15" i="6" s="1"/>
  <c r="F15" i="7" s="1"/>
  <c r="H15" i="7" s="1"/>
  <c r="F16" i="5"/>
  <c r="F16" i="6" s="1"/>
  <c r="H16" i="6" s="1"/>
  <c r="F16" i="7" s="1"/>
  <c r="H16" i="7" s="1"/>
  <c r="F19" i="5"/>
  <c r="F19" i="6" s="1"/>
  <c r="H19" i="6" s="1"/>
  <c r="F19" i="7" s="1"/>
  <c r="H19" i="7" s="1"/>
  <c r="F17" i="5"/>
  <c r="F17" i="6" s="1"/>
  <c r="H17" i="6" s="1"/>
  <c r="F17" i="7" s="1"/>
  <c r="H17" i="7" s="1"/>
  <c r="G58" i="1"/>
  <c r="H59" i="1" s="1"/>
  <c r="K4" i="2" s="1"/>
  <c r="G12" i="1"/>
  <c r="H33" i="1" s="1"/>
  <c r="K2" i="2" s="1"/>
  <c r="F2" i="5" s="1"/>
  <c r="F24" i="5" l="1"/>
  <c r="F24" i="6" s="1"/>
  <c r="H24" i="6" s="1"/>
  <c r="F24" i="7" s="1"/>
  <c r="H24" i="7" s="1"/>
  <c r="K24" i="7" s="1"/>
  <c r="K4" i="9"/>
  <c r="L14" i="9" s="1"/>
  <c r="I14" i="9"/>
  <c r="H4" i="9"/>
  <c r="I4" i="9" s="1"/>
  <c r="I5" i="9" s="1"/>
  <c r="I6" i="9" s="1"/>
  <c r="I7" i="9" s="1"/>
  <c r="I8" i="9" s="1"/>
  <c r="I9" i="9" s="1"/>
  <c r="I10" i="9" s="1"/>
  <c r="I11" i="9" s="1"/>
  <c r="I12" i="9" s="1"/>
  <c r="F14" i="7"/>
  <c r="H14" i="7" s="1"/>
  <c r="K14" i="7" s="1"/>
  <c r="K14" i="6"/>
  <c r="F10" i="5"/>
  <c r="F5" i="5"/>
  <c r="F7" i="5"/>
  <c r="F9" i="5"/>
  <c r="F3" i="5"/>
  <c r="I2" i="5" s="1"/>
  <c r="F6" i="5"/>
  <c r="F8" i="5"/>
  <c r="F4" i="5"/>
  <c r="I14" i="5"/>
  <c r="F11" i="8" s="1"/>
  <c r="I24" i="5" l="1"/>
  <c r="F23" i="8" s="1"/>
  <c r="M25" i="8" s="1"/>
  <c r="K24" i="6"/>
  <c r="F25" i="8" s="1"/>
  <c r="M28" i="8" s="1"/>
  <c r="F27" i="8"/>
  <c r="M31" i="8" s="1"/>
  <c r="N27" i="7"/>
  <c r="M5" i="8"/>
  <c r="M6" i="5"/>
  <c r="F13" i="8"/>
  <c r="N5" i="6"/>
  <c r="F15" i="8"/>
  <c r="N5" i="7"/>
  <c r="M28" i="5" l="1"/>
  <c r="N27" i="6"/>
  <c r="M11" i="8"/>
  <c r="M8" i="8"/>
</calcChain>
</file>

<file path=xl/sharedStrings.xml><?xml version="1.0" encoding="utf-8"?>
<sst xmlns="http://schemas.openxmlformats.org/spreadsheetml/2006/main" count="425" uniqueCount="137">
  <si>
    <t>هزینه اولیه</t>
  </si>
  <si>
    <t>سرویس های بهداشتی</t>
  </si>
  <si>
    <t>ساختمان سازی و آلاچیق</t>
  </si>
  <si>
    <t xml:space="preserve">شرح </t>
  </si>
  <si>
    <t>دکوراسیون داخلی و مبلمان  و ...</t>
  </si>
  <si>
    <t xml:space="preserve">آشپزخانه </t>
  </si>
  <si>
    <t>تجهیزات</t>
  </si>
  <si>
    <t xml:space="preserve">تجهیزات برودتی </t>
  </si>
  <si>
    <t>تجهیزات آشپزخانه</t>
  </si>
  <si>
    <t>تجهیزات آماده سازی</t>
  </si>
  <si>
    <t>تجهیزات ساندویچ</t>
  </si>
  <si>
    <t>تجهیزات پیتزا</t>
  </si>
  <si>
    <t>تجهیزات کنتاکی</t>
  </si>
  <si>
    <t>تجهیزات آشپزخانه صنعتی رستوران</t>
  </si>
  <si>
    <t xml:space="preserve">نام تجهیزات </t>
  </si>
  <si>
    <t>وسایل حمل و نقل</t>
  </si>
  <si>
    <t xml:space="preserve">موتور </t>
  </si>
  <si>
    <t>وانت</t>
  </si>
  <si>
    <t xml:space="preserve"> تعداد مورد نیاز </t>
  </si>
  <si>
    <t xml:space="preserve">   نوع وسیله حمل و نقل</t>
  </si>
  <si>
    <t xml:space="preserve">تبلیغات </t>
  </si>
  <si>
    <t xml:space="preserve">بنزین </t>
  </si>
  <si>
    <t xml:space="preserve">تلفن </t>
  </si>
  <si>
    <t xml:space="preserve">آب </t>
  </si>
  <si>
    <t xml:space="preserve">گاز </t>
  </si>
  <si>
    <t xml:space="preserve">برق </t>
  </si>
  <si>
    <t>دکوراسیون</t>
  </si>
  <si>
    <t>هزینه نگهداری و تعمیرات</t>
  </si>
  <si>
    <t xml:space="preserve"> برآورد هزینه نگهداری و تعمیرات</t>
  </si>
  <si>
    <t xml:space="preserve">گارسون </t>
  </si>
  <si>
    <t xml:space="preserve">پشتیبانی </t>
  </si>
  <si>
    <t xml:space="preserve">سرآشپز </t>
  </si>
  <si>
    <t xml:space="preserve">پذیرش </t>
  </si>
  <si>
    <t xml:space="preserve">مدیر </t>
  </si>
  <si>
    <t xml:space="preserve">تعداد </t>
  </si>
  <si>
    <t xml:space="preserve">نیروی انسانی </t>
  </si>
  <si>
    <t>حقوق و مزایا</t>
  </si>
  <si>
    <t xml:space="preserve"> زمین و ساختمان</t>
  </si>
  <si>
    <t xml:space="preserve">مواد اولیه </t>
  </si>
  <si>
    <t xml:space="preserve"> هزینه های آب،برق،تلفن،سوخت مصرفیومواد اولیه و تبلیغات </t>
  </si>
  <si>
    <t>هزینه های تهیه طرح ، مشاوره ، اخذ مجوز ، %هزینه های 1حق ثبت قراردادهای بانکی</t>
  </si>
  <si>
    <t xml:space="preserve">هزینه های قبل از بهره برداری </t>
  </si>
  <si>
    <t>حمل و نقل</t>
  </si>
  <si>
    <t>سرمایه ثابت 
 سرمایه ثابت 1 
 سرمایه ثابت</t>
  </si>
  <si>
    <t>درآمد</t>
  </si>
  <si>
    <t xml:space="preserve">تعداد روز فعال در سال </t>
  </si>
  <si>
    <t xml:space="preserve"> درآمد حاصل از فروش فست فود </t>
  </si>
  <si>
    <t>تعداد فروش روزانه</t>
  </si>
  <si>
    <t>فست فود</t>
  </si>
  <si>
    <t>انبار سرد</t>
  </si>
  <si>
    <t>:هزینه کل</t>
  </si>
  <si>
    <t>سرمایه  متغیر</t>
  </si>
  <si>
    <t>حقوق سالانه هر نوع نیرو</t>
  </si>
  <si>
    <t>حقوق ماهانه هر نیرو</t>
  </si>
  <si>
    <t xml:space="preserve"> قیمت واحد (ریال)</t>
  </si>
  <si>
    <t xml:space="preserve"> مساحت مورد نیاز (مترمربع)</t>
  </si>
  <si>
    <t xml:space="preserve"> کل هزینه (ریال)</t>
  </si>
  <si>
    <t>هزینه خرید زمین</t>
  </si>
  <si>
    <t>هزینه هر واحد</t>
  </si>
  <si>
    <t>قیمت (ریال)</t>
  </si>
  <si>
    <t xml:space="preserve"> قیمت کل (ریال)</t>
  </si>
  <si>
    <t>هزینه تعمیرات  سالانه (ریال)</t>
  </si>
  <si>
    <t>درآمد سالانه (ریال)</t>
  </si>
  <si>
    <t>هزینه کل سرمایه متغیر سالانه (ریال)</t>
  </si>
  <si>
    <t>هزینه کل سرمایه ثابت (ریال)</t>
  </si>
  <si>
    <t xml:space="preserve">متوسط قیمت هر فروش (ریال) </t>
  </si>
  <si>
    <t>درآمد کل سالیانه (ریال)</t>
  </si>
  <si>
    <t>بیرون بر</t>
  </si>
  <si>
    <t>ساختمان سازی</t>
  </si>
  <si>
    <t>تجهیزات کباب پزی</t>
  </si>
  <si>
    <t>ظروف یکبار مصرف</t>
  </si>
  <si>
    <t>درآمد سالیانه</t>
  </si>
  <si>
    <t>هزینه سالانه</t>
  </si>
  <si>
    <t xml:space="preserve">      مخارج</t>
  </si>
  <si>
    <t>هزینه اسقاطی</t>
  </si>
  <si>
    <t>عمر مفید (سال)</t>
  </si>
  <si>
    <t>cost</t>
  </si>
  <si>
    <t>P1</t>
  </si>
  <si>
    <t>A1</t>
  </si>
  <si>
    <t>A2</t>
  </si>
  <si>
    <t>A3</t>
  </si>
  <si>
    <t>A4</t>
  </si>
  <si>
    <t>A5</t>
  </si>
  <si>
    <t>A6</t>
  </si>
  <si>
    <t>A7</t>
  </si>
  <si>
    <t>A8</t>
  </si>
  <si>
    <t>rate</t>
  </si>
  <si>
    <t>benefits</t>
  </si>
  <si>
    <t>Fast Food</t>
  </si>
  <si>
    <t>Take Away</t>
  </si>
  <si>
    <t>Present Value</t>
  </si>
  <si>
    <t>NPW Cost</t>
  </si>
  <si>
    <t>NPW Benefit</t>
  </si>
  <si>
    <t>NPW</t>
  </si>
  <si>
    <t>Winner:Take Away</t>
  </si>
  <si>
    <t>Future Value</t>
  </si>
  <si>
    <t>NFW Cost</t>
  </si>
  <si>
    <t>NFW Benefit</t>
  </si>
  <si>
    <t>NFW</t>
  </si>
  <si>
    <t>Annual Value</t>
  </si>
  <si>
    <t>NAW</t>
  </si>
  <si>
    <t>EUAC</t>
  </si>
  <si>
    <t>EUAB</t>
  </si>
  <si>
    <t>Costs</t>
  </si>
  <si>
    <t>NPWCost</t>
  </si>
  <si>
    <t>NFWCost</t>
  </si>
  <si>
    <t>EUACost</t>
  </si>
  <si>
    <t>Benefits</t>
  </si>
  <si>
    <t>NPWBenefit</t>
  </si>
  <si>
    <t>NFWBenefit</t>
  </si>
  <si>
    <t>EUABenefit</t>
  </si>
  <si>
    <t>Benefit/Cost</t>
  </si>
  <si>
    <t>PV</t>
  </si>
  <si>
    <t>FV</t>
  </si>
  <si>
    <t>AV</t>
  </si>
  <si>
    <t>∆B/∆C</t>
  </si>
  <si>
    <t>B/C &gt; 1 ==&gt;</t>
  </si>
  <si>
    <t>Net Cash</t>
  </si>
  <si>
    <t>Net Cash PV</t>
  </si>
  <si>
    <t>Cumulative Net Cash</t>
  </si>
  <si>
    <t>Year</t>
  </si>
  <si>
    <t>Rate Of Return &amp; Payback Period</t>
  </si>
  <si>
    <t>IRR</t>
  </si>
  <si>
    <t>MIRR</t>
  </si>
  <si>
    <t>∆Cumulative Net Cash</t>
  </si>
  <si>
    <t>Sensitivity 1</t>
  </si>
  <si>
    <t>درصد تغییرات</t>
  </si>
  <si>
    <t>Sensitivity 2</t>
  </si>
  <si>
    <t>تخمین بد بینانه</t>
  </si>
  <si>
    <t>تخمین متوسط</t>
  </si>
  <si>
    <t>تخمین خوش بینانه</t>
  </si>
  <si>
    <t>NPW-O</t>
  </si>
  <si>
    <t>میانگین تخمین ها</t>
  </si>
  <si>
    <t>NPW-M</t>
  </si>
  <si>
    <t>NPW-P</t>
  </si>
  <si>
    <t>Sensitivity 3</t>
  </si>
  <si>
    <t>Sensitivity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</si>
</sst>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.00;[Red]#,##0.00"/>
    <numFmt numFmtId="165" formatCode="#,##0;[Red]#,##0"/>
  </numFmts>
  <fonts count="2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9C6500"/>
      <name val="Calibri"/>
      <family val="2"/>
      <scheme val="minor"/>
    </font>
    <font>
      <sz val="24"/>
      <color rgb="FF006100"/>
      <name val="Calibri"/>
      <family val="2"/>
      <scheme val="minor"/>
    </font>
    <font>
      <sz val="24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sz val="48"/>
      <color theme="2"/>
      <name val="Calibri"/>
      <family val="2"/>
      <scheme val="minor"/>
    </font>
    <font>
      <sz val="48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20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B86650"/>
        <bgColor indexed="64"/>
      </patternFill>
    </fill>
    <fill>
      <patternFill patternType="solid">
        <fgColor theme="5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  <xf numFmtId="0" fontId="5" fillId="6" borderId="5" applyNumberFormat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3" fillId="11" borderId="14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5" fillId="15" borderId="0" applyNumberFormat="0" applyBorder="0" applyAlignment="0" applyProtection="0"/>
    <xf numFmtId="0" fontId="3" fillId="17" borderId="0" applyNumberFormat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37" fontId="4" fillId="4" borderId="1" xfId="3" applyNumberFormat="1" applyAlignment="1">
      <alignment horizontal="right"/>
    </xf>
    <xf numFmtId="37" fontId="4" fillId="4" borderId="1" xfId="3" applyNumberFormat="1" applyAlignment="1">
      <alignment horizontal="center"/>
    </xf>
    <xf numFmtId="37" fontId="0" fillId="0" borderId="0" xfId="0" applyNumberFormat="1" applyAlignment="1">
      <alignment horizontal="right"/>
    </xf>
    <xf numFmtId="37" fontId="3" fillId="7" borderId="0" xfId="6" applyNumberFormat="1" applyAlignment="1">
      <alignment horizontal="center"/>
    </xf>
    <xf numFmtId="37" fontId="0" fillId="0" borderId="0" xfId="0" applyNumberFormat="1"/>
    <xf numFmtId="165" fontId="0" fillId="0" borderId="0" xfId="0" applyNumberFormat="1" applyAlignment="1">
      <alignment horizontal="center"/>
    </xf>
    <xf numFmtId="0" fontId="6" fillId="9" borderId="0" xfId="8" applyAlignment="1">
      <alignment horizontal="center"/>
    </xf>
    <xf numFmtId="37" fontId="3" fillId="7" borderId="6" xfId="6" applyNumberFormat="1" applyBorder="1" applyAlignment="1">
      <alignment horizontal="right" readingOrder="2"/>
    </xf>
    <xf numFmtId="0" fontId="0" fillId="0" borderId="0" xfId="0" applyFont="1"/>
    <xf numFmtId="0" fontId="0" fillId="0" borderId="0" xfId="0" applyFont="1" applyAlignment="1"/>
    <xf numFmtId="9" fontId="0" fillId="0" borderId="0" xfId="0" applyNumberFormat="1"/>
    <xf numFmtId="3" fontId="0" fillId="0" borderId="0" xfId="0" applyNumberFormat="1"/>
    <xf numFmtId="165" fontId="4" fillId="4" borderId="1" xfId="3" applyNumberFormat="1"/>
    <xf numFmtId="0" fontId="4" fillId="4" borderId="1" xfId="3"/>
    <xf numFmtId="3" fontId="13" fillId="4" borderId="1" xfId="3" applyNumberFormat="1" applyFon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3" fontId="14" fillId="4" borderId="1" xfId="3" applyNumberFormat="1" applyFont="1"/>
    <xf numFmtId="0" fontId="0" fillId="0" borderId="0" xfId="0" applyAlignment="1"/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/>
    <xf numFmtId="3" fontId="0" fillId="0" borderId="0" xfId="0" applyNumberFormat="1" applyAlignment="1"/>
    <xf numFmtId="8" fontId="0" fillId="0" borderId="0" xfId="0" applyNumberFormat="1"/>
    <xf numFmtId="2" fontId="0" fillId="0" borderId="0" xfId="0" applyNumberFormat="1"/>
    <xf numFmtId="0" fontId="7" fillId="10" borderId="0" xfId="9" applyAlignment="1">
      <alignment horizontal="center" vertical="center"/>
    </xf>
    <xf numFmtId="3" fontId="0" fillId="0" borderId="0" xfId="0" applyNumberFormat="1" applyAlignment="1">
      <alignment horizontal="right"/>
    </xf>
    <xf numFmtId="10" fontId="7" fillId="10" borderId="0" xfId="9" applyNumberFormat="1" applyAlignment="1">
      <alignment horizontal="center" vertical="center"/>
    </xf>
    <xf numFmtId="3" fontId="7" fillId="10" borderId="0" xfId="9" applyNumberFormat="1" applyAlignment="1">
      <alignment horizontal="center" vertical="center"/>
    </xf>
    <xf numFmtId="0" fontId="4" fillId="4" borderId="1" xfId="3" applyAlignment="1">
      <alignment horizontal="center" vertical="center"/>
    </xf>
    <xf numFmtId="3" fontId="24" fillId="0" borderId="0" xfId="0" applyNumberFormat="1" applyFont="1" applyAlignment="1"/>
    <xf numFmtId="3" fontId="23" fillId="0" borderId="0" xfId="0" applyNumberFormat="1" applyFont="1" applyAlignment="1"/>
    <xf numFmtId="3" fontId="23" fillId="0" borderId="0" xfId="0" applyNumberFormat="1" applyFont="1"/>
    <xf numFmtId="0" fontId="4" fillId="4" borderId="1" xfId="3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3" fillId="17" borderId="0" xfId="15" applyNumberFormat="1"/>
    <xf numFmtId="3" fontId="3" fillId="17" borderId="1" xfId="15" applyNumberFormat="1" applyBorder="1"/>
    <xf numFmtId="37" fontId="3" fillId="7" borderId="6" xfId="6" applyNumberFormat="1" applyBorder="1" applyAlignment="1">
      <alignment horizontal="right" readingOrder="2"/>
    </xf>
    <xf numFmtId="37" fontId="2" fillId="3" borderId="2" xfId="2" applyNumberFormat="1" applyBorder="1" applyAlignment="1">
      <alignment horizontal="center"/>
    </xf>
    <xf numFmtId="37" fontId="2" fillId="3" borderId="3" xfId="2" applyNumberFormat="1" applyBorder="1" applyAlignment="1">
      <alignment horizontal="center"/>
    </xf>
    <xf numFmtId="37" fontId="2" fillId="3" borderId="4" xfId="2" applyNumberFormat="1" applyBorder="1" applyAlignment="1">
      <alignment horizontal="center"/>
    </xf>
    <xf numFmtId="37" fontId="7" fillId="10" borderId="8" xfId="9" applyNumberFormat="1" applyBorder="1" applyAlignment="1">
      <alignment horizontal="center"/>
    </xf>
    <xf numFmtId="37" fontId="7" fillId="10" borderId="13" xfId="9" applyNumberFormat="1" applyBorder="1" applyAlignment="1">
      <alignment horizontal="center"/>
    </xf>
    <xf numFmtId="37" fontId="6" fillId="9" borderId="8" xfId="8" applyNumberFormat="1" applyBorder="1" applyAlignment="1">
      <alignment horizontal="center"/>
    </xf>
    <xf numFmtId="0" fontId="6" fillId="9" borderId="13" xfId="8" applyBorder="1" applyAlignment="1">
      <alignment horizontal="center"/>
    </xf>
    <xf numFmtId="37" fontId="7" fillId="10" borderId="0" xfId="9" applyNumberFormat="1" applyBorder="1" applyAlignment="1">
      <alignment horizontal="center"/>
    </xf>
    <xf numFmtId="37" fontId="7" fillId="10" borderId="7" xfId="9" applyNumberFormat="1" applyBorder="1" applyAlignment="1">
      <alignment horizontal="center"/>
    </xf>
    <xf numFmtId="37" fontId="3" fillId="5" borderId="6" xfId="4" applyNumberFormat="1" applyBorder="1" applyAlignment="1">
      <alignment horizontal="center"/>
    </xf>
    <xf numFmtId="37" fontId="7" fillId="10" borderId="9" xfId="9" applyNumberFormat="1" applyBorder="1" applyAlignment="1">
      <alignment horizontal="center"/>
    </xf>
    <xf numFmtId="37" fontId="7" fillId="10" borderId="8" xfId="9" applyNumberFormat="1" applyBorder="1" applyAlignment="1">
      <alignment horizontal="right"/>
    </xf>
    <xf numFmtId="37" fontId="7" fillId="10" borderId="13" xfId="9" applyNumberFormat="1" applyBorder="1" applyAlignment="1">
      <alignment horizontal="right"/>
    </xf>
    <xf numFmtId="37" fontId="0" fillId="5" borderId="0" xfId="4" applyNumberFormat="1" applyFont="1" applyAlignment="1">
      <alignment horizontal="center"/>
    </xf>
    <xf numFmtId="37" fontId="0" fillId="0" borderId="3" xfId="0" applyNumberFormat="1" applyBorder="1" applyAlignment="1">
      <alignment horizontal="center"/>
    </xf>
    <xf numFmtId="37" fontId="3" fillId="7" borderId="3" xfId="6" applyNumberFormat="1" applyBorder="1" applyAlignment="1">
      <alignment horizontal="right" readingOrder="2"/>
    </xf>
    <xf numFmtId="37" fontId="0" fillId="8" borderId="0" xfId="7" applyNumberFormat="1" applyFont="1" applyAlignment="1">
      <alignment horizontal="center"/>
    </xf>
    <xf numFmtId="37" fontId="3" fillId="8" borderId="0" xfId="7" applyNumberFormat="1" applyAlignment="1">
      <alignment horizontal="center"/>
    </xf>
    <xf numFmtId="37" fontId="1" fillId="2" borderId="0" xfId="1" applyNumberFormat="1" applyAlignment="1">
      <alignment horizontal="center"/>
    </xf>
    <xf numFmtId="37" fontId="0" fillId="5" borderId="0" xfId="4" applyNumberFormat="1" applyFont="1" applyAlignment="1">
      <alignment horizontal="center" wrapText="1"/>
    </xf>
    <xf numFmtId="37" fontId="3" fillId="5" borderId="0" xfId="4" applyNumberFormat="1" applyAlignment="1">
      <alignment horizontal="center"/>
    </xf>
    <xf numFmtId="37" fontId="7" fillId="10" borderId="5" xfId="9" applyNumberFormat="1" applyBorder="1" applyAlignment="1">
      <alignment horizontal="center"/>
    </xf>
    <xf numFmtId="37" fontId="7" fillId="10" borderId="5" xfId="9" applyNumberFormat="1" applyBorder="1" applyAlignment="1">
      <alignment horizontal="right"/>
    </xf>
    <xf numFmtId="37" fontId="7" fillId="10" borderId="0" xfId="9" applyNumberFormat="1" applyBorder="1" applyAlignment="1">
      <alignment horizontal="right"/>
    </xf>
    <xf numFmtId="37" fontId="7" fillId="10" borderId="7" xfId="9" applyNumberFormat="1" applyBorder="1" applyAlignment="1">
      <alignment horizontal="right"/>
    </xf>
    <xf numFmtId="0" fontId="5" fillId="6" borderId="10" xfId="5" applyBorder="1" applyAlignment="1">
      <alignment horizontal="center"/>
    </xf>
    <xf numFmtId="0" fontId="5" fillId="6" borderId="11" xfId="5" applyBorder="1" applyAlignment="1">
      <alignment horizontal="center"/>
    </xf>
    <xf numFmtId="0" fontId="5" fillId="6" borderId="12" xfId="5" applyBorder="1" applyAlignment="1">
      <alignment horizontal="center"/>
    </xf>
    <xf numFmtId="37" fontId="2" fillId="3" borderId="1" xfId="2" applyNumberFormat="1" applyAlignment="1">
      <alignment horizontal="center"/>
    </xf>
    <xf numFmtId="37" fontId="7" fillId="10" borderId="0" xfId="9" applyNumberFormat="1" applyAlignment="1">
      <alignment horizontal="center"/>
    </xf>
    <xf numFmtId="0" fontId="7" fillId="10" borderId="0" xfId="9" applyAlignment="1">
      <alignment horizontal="center"/>
    </xf>
    <xf numFmtId="0" fontId="5" fillId="6" borderId="5" xfId="5" applyAlignment="1">
      <alignment horizontal="center"/>
    </xf>
    <xf numFmtId="0" fontId="11" fillId="10" borderId="0" xfId="9" applyFont="1" applyAlignment="1">
      <alignment horizontal="center" vertical="center"/>
    </xf>
    <xf numFmtId="0" fontId="8" fillId="11" borderId="14" xfId="10" applyFont="1" applyAlignment="1">
      <alignment horizontal="center"/>
    </xf>
    <xf numFmtId="0" fontId="10" fillId="9" borderId="0" xfId="8" applyFont="1" applyAlignment="1">
      <alignment horizontal="center"/>
    </xf>
    <xf numFmtId="0" fontId="9" fillId="2" borderId="0" xfId="1" applyFont="1" applyAlignment="1">
      <alignment horizontal="center"/>
    </xf>
    <xf numFmtId="0" fontId="8" fillId="5" borderId="0" xfId="4" applyFont="1" applyAlignment="1">
      <alignment horizontal="center"/>
    </xf>
    <xf numFmtId="37" fontId="10" fillId="9" borderId="0" xfId="8" applyNumberFormat="1" applyFont="1" applyAlignment="1">
      <alignment horizontal="center"/>
    </xf>
    <xf numFmtId="3" fontId="9" fillId="2" borderId="0" xfId="1" applyNumberFormat="1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9" fillId="16" borderId="0" xfId="14" applyFont="1" applyFill="1" applyAlignment="1">
      <alignment horizontal="center" vertical="center"/>
    </xf>
    <xf numFmtId="0" fontId="18" fillId="16" borderId="0" xfId="14" applyFont="1" applyFill="1" applyAlignment="1">
      <alignment horizontal="center" vertical="center"/>
    </xf>
    <xf numFmtId="0" fontId="16" fillId="14" borderId="17" xfId="13" applyFont="1" applyBorder="1" applyAlignment="1">
      <alignment horizontal="center" vertical="center"/>
    </xf>
    <xf numFmtId="0" fontId="16" fillId="14" borderId="0" xfId="13" applyFont="1" applyAlignment="1">
      <alignment horizontal="center" vertical="center"/>
    </xf>
    <xf numFmtId="3" fontId="17" fillId="3" borderId="18" xfId="2" applyNumberFormat="1" applyFont="1" applyBorder="1" applyAlignment="1">
      <alignment horizontal="center" vertical="center"/>
    </xf>
    <xf numFmtId="0" fontId="17" fillId="3" borderId="19" xfId="2" applyFont="1" applyBorder="1" applyAlignment="1">
      <alignment horizontal="center" vertical="center"/>
    </xf>
    <xf numFmtId="0" fontId="17" fillId="3" borderId="20" xfId="2" applyFont="1" applyBorder="1" applyAlignment="1">
      <alignment horizontal="center" vertical="center"/>
    </xf>
    <xf numFmtId="0" fontId="17" fillId="3" borderId="16" xfId="2" applyFont="1" applyBorder="1" applyAlignment="1">
      <alignment horizontal="center" vertical="center"/>
    </xf>
    <xf numFmtId="0" fontId="17" fillId="3" borderId="21" xfId="2" applyFont="1" applyBorder="1" applyAlignment="1">
      <alignment horizontal="center" vertical="center"/>
    </xf>
    <xf numFmtId="0" fontId="17" fillId="3" borderId="22" xfId="2" applyFont="1" applyBorder="1" applyAlignment="1">
      <alignment horizontal="center" vertical="center"/>
    </xf>
    <xf numFmtId="165" fontId="7" fillId="10" borderId="16" xfId="9" applyNumberFormat="1" applyBorder="1" applyAlignment="1">
      <alignment horizontal="center" vertical="center"/>
    </xf>
    <xf numFmtId="0" fontId="6" fillId="9" borderId="16" xfId="8" applyBorder="1" applyAlignment="1">
      <alignment horizontal="center" vertical="center"/>
    </xf>
    <xf numFmtId="0" fontId="6" fillId="9" borderId="0" xfId="8" applyAlignment="1">
      <alignment horizontal="center" vertical="center"/>
    </xf>
    <xf numFmtId="165" fontId="7" fillId="10" borderId="0" xfId="9" applyNumberFormat="1" applyAlignment="1">
      <alignment horizontal="center" vertical="center"/>
    </xf>
    <xf numFmtId="0" fontId="8" fillId="13" borderId="0" xfId="12" applyFont="1" applyAlignment="1">
      <alignment horizontal="center" vertical="center"/>
    </xf>
    <xf numFmtId="0" fontId="8" fillId="12" borderId="0" xfId="11" applyFont="1" applyAlignment="1">
      <alignment horizontal="center" vertical="center"/>
    </xf>
    <xf numFmtId="3" fontId="4" fillId="4" borderId="1" xfId="3" applyNumberFormat="1" applyAlignment="1">
      <alignment horizontal="center" vertical="center"/>
    </xf>
    <xf numFmtId="0" fontId="4" fillId="4" borderId="1" xfId="3" applyAlignment="1">
      <alignment horizontal="center" vertical="center"/>
    </xf>
    <xf numFmtId="0" fontId="7" fillId="10" borderId="0" xfId="9" applyAlignment="1">
      <alignment horizontal="center" vertical="center"/>
    </xf>
    <xf numFmtId="3" fontId="17" fillId="3" borderId="1" xfId="2" applyNumberFormat="1" applyFont="1" applyAlignment="1">
      <alignment horizontal="center" vertical="center"/>
    </xf>
    <xf numFmtId="0" fontId="17" fillId="3" borderId="1" xfId="2" applyFont="1" applyAlignment="1">
      <alignment horizontal="center" vertical="center"/>
    </xf>
    <xf numFmtId="0" fontId="4" fillId="11" borderId="23" xfId="10" applyFont="1" applyBorder="1" applyAlignment="1">
      <alignment horizontal="center" vertical="center"/>
    </xf>
    <xf numFmtId="0" fontId="4" fillId="11" borderId="24" xfId="10" applyFont="1" applyBorder="1" applyAlignment="1">
      <alignment horizontal="center" vertical="center"/>
    </xf>
    <xf numFmtId="0" fontId="4" fillId="11" borderId="25" xfId="10" applyFont="1" applyBorder="1" applyAlignment="1">
      <alignment horizontal="center" vertical="center"/>
    </xf>
    <xf numFmtId="3" fontId="4" fillId="11" borderId="14" xfId="10" applyNumberFormat="1" applyFont="1" applyAlignment="1">
      <alignment horizontal="center" vertical="center"/>
    </xf>
    <xf numFmtId="0" fontId="22" fillId="3" borderId="1" xfId="2" applyFont="1" applyAlignment="1">
      <alignment horizontal="center" vertical="center"/>
    </xf>
    <xf numFmtId="3" fontId="4" fillId="4" borderId="18" xfId="3" applyNumberFormat="1" applyBorder="1" applyAlignment="1">
      <alignment horizontal="center" vertical="center"/>
    </xf>
    <xf numFmtId="3" fontId="4" fillId="4" borderId="20" xfId="3" applyNumberFormat="1" applyBorder="1" applyAlignment="1">
      <alignment horizontal="center" vertical="center"/>
    </xf>
    <xf numFmtId="0" fontId="4" fillId="11" borderId="14" xfId="10" applyFont="1" applyAlignment="1">
      <alignment horizontal="center" vertical="center"/>
    </xf>
    <xf numFmtId="0" fontId="4" fillId="4" borderId="18" xfId="3" applyBorder="1" applyAlignment="1">
      <alignment horizontal="center" vertical="center"/>
    </xf>
    <xf numFmtId="0" fontId="4" fillId="4" borderId="20" xfId="3" applyBorder="1" applyAlignment="1">
      <alignment horizontal="center" vertical="center"/>
    </xf>
    <xf numFmtId="2" fontId="21" fillId="4" borderId="1" xfId="3" applyNumberFormat="1" applyFont="1" applyAlignment="1">
      <alignment horizontal="center"/>
    </xf>
    <xf numFmtId="3" fontId="5" fillId="6" borderId="5" xfId="5" applyNumberFormat="1" applyAlignment="1">
      <alignment horizontal="center" vertical="center"/>
    </xf>
    <xf numFmtId="3" fontId="7" fillId="10" borderId="0" xfId="9" applyNumberFormat="1" applyBorder="1" applyAlignment="1">
      <alignment horizontal="center" vertical="center"/>
    </xf>
    <xf numFmtId="3" fontId="13" fillId="4" borderId="1" xfId="3" applyNumberFormat="1" applyFont="1" applyAlignment="1">
      <alignment horizontal="center"/>
    </xf>
    <xf numFmtId="0" fontId="13" fillId="4" borderId="1" xfId="3" applyFont="1" applyAlignment="1">
      <alignment horizontal="center"/>
    </xf>
    <xf numFmtId="3" fontId="6" fillId="9" borderId="0" xfId="8" applyNumberFormat="1" applyBorder="1" applyAlignment="1">
      <alignment horizontal="center" vertical="center"/>
    </xf>
    <xf numFmtId="3" fontId="14" fillId="4" borderId="1" xfId="3" applyNumberFormat="1" applyFont="1" applyAlignment="1">
      <alignment horizontal="center"/>
    </xf>
    <xf numFmtId="0" fontId="14" fillId="4" borderId="1" xfId="3" applyFont="1" applyAlignment="1">
      <alignment horizontal="center"/>
    </xf>
    <xf numFmtId="0" fontId="1" fillId="2" borderId="0" xfId="1" applyAlignment="1">
      <alignment horizontal="center"/>
    </xf>
    <xf numFmtId="0" fontId="3" fillId="14" borderId="0" xfId="13" applyAlignment="1">
      <alignment horizontal="center"/>
    </xf>
    <xf numFmtId="0" fontId="0" fillId="11" borderId="14" xfId="10" applyFont="1" applyAlignment="1">
      <alignment horizontal="center"/>
    </xf>
    <xf numFmtId="0" fontId="0" fillId="0" borderId="27" xfId="0" applyBorder="1" applyAlignment="1">
      <alignment horizontal="center"/>
    </xf>
    <xf numFmtId="0" fontId="4" fillId="4" borderId="26" xfId="3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0" fillId="11" borderId="6" xfId="10" applyFont="1" applyBorder="1" applyAlignment="1">
      <alignment horizontal="center"/>
    </xf>
    <xf numFmtId="3" fontId="5" fillId="6" borderId="5" xfId="5" applyNumberFormat="1" applyAlignment="1">
      <alignment horizontal="center"/>
    </xf>
    <xf numFmtId="0" fontId="3" fillId="14" borderId="6" xfId="13" applyBorder="1" applyAlignment="1">
      <alignment horizontal="center"/>
    </xf>
    <xf numFmtId="3" fontId="0" fillId="11" borderId="14" xfId="10" applyNumberFormat="1" applyFont="1" applyAlignment="1">
      <alignment horizontal="center" vertical="center"/>
    </xf>
    <xf numFmtId="0" fontId="6" fillId="9" borderId="0" xfId="8" applyAlignment="1">
      <alignment horizontal="center"/>
    </xf>
    <xf numFmtId="0" fontId="1" fillId="2" borderId="0" xfId="1" applyAlignment="1">
      <alignment horizontal="center" vertical="center"/>
    </xf>
    <xf numFmtId="0" fontId="2" fillId="3" borderId="1" xfId="2" applyAlignment="1">
      <alignment horizontal="center" vertical="center"/>
    </xf>
  </cellXfs>
  <cellStyles count="16">
    <cellStyle name="20% - Accent1" xfId="13" builtinId="30"/>
    <cellStyle name="20% - Accent2" xfId="15" builtinId="34"/>
    <cellStyle name="20% - Accent4" xfId="12" builtinId="42"/>
    <cellStyle name="40% - Accent1" xfId="4" builtinId="31"/>
    <cellStyle name="40% - Accent2" xfId="11" builtinId="35"/>
    <cellStyle name="40% - Accent4" xfId="6" builtinId="43"/>
    <cellStyle name="40% - Accent6" xfId="7" builtinId="51"/>
    <cellStyle name="Accent5" xfId="14" builtinId="45"/>
    <cellStyle name="Bad" xfId="9" builtinId="27"/>
    <cellStyle name="Calculation" xfId="3" builtinId="22"/>
    <cellStyle name="Check Cell" xfId="5" builtinId="23"/>
    <cellStyle name="Good" xfId="8" builtinId="26"/>
    <cellStyle name="Input" xfId="2" builtinId="20"/>
    <cellStyle name="Neutral" xfId="1" builtinId="28"/>
    <cellStyle name="Normal" xfId="0" builtinId="0"/>
    <cellStyle name="Note" xfId="10" builtinId="10"/>
  </cellStyles>
  <dxfs count="0"/>
  <tableStyles count="0" defaultTableStyle="TableStyleMedium2" defaultPivotStyle="PivotStyleLight16"/>
  <colors>
    <mruColors>
      <color rgb="FFB86650"/>
      <color rgb="FFA17967"/>
      <color rgb="FFDE59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هزینه سالانه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Sensitivity1!$A$6:$A$16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Sensitivity1!$B$6:$B$16</c:f>
              <c:numCache>
                <c:formatCode>#,##0</c:formatCode>
                <c:ptCount val="11"/>
                <c:pt idx="0">
                  <c:v>35758947231.072739</c:v>
                </c:pt>
                <c:pt idx="1">
                  <c:v>32610777802.976963</c:v>
                </c:pt>
                <c:pt idx="2">
                  <c:v>29462608374.881184</c:v>
                </c:pt>
                <c:pt idx="3">
                  <c:v>26314438946.785412</c:v>
                </c:pt>
                <c:pt idx="4">
                  <c:v>23166269518.689632</c:v>
                </c:pt>
                <c:pt idx="5">
                  <c:v>20018100090.593857</c:v>
                </c:pt>
                <c:pt idx="6">
                  <c:v>16869930662.498077</c:v>
                </c:pt>
                <c:pt idx="7">
                  <c:v>13721761234.402306</c:v>
                </c:pt>
                <c:pt idx="8">
                  <c:v>10573591806.306534</c:v>
                </c:pt>
                <c:pt idx="9">
                  <c:v>7425422378.210762</c:v>
                </c:pt>
                <c:pt idx="10">
                  <c:v>4277252950.1149902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F-4734-999E-D41D2B0FF4DB}"/>
            </c:ext>
          </c:extLst>
        </c:ser>
        <c:ser>
          <c:idx val="1"/>
          <c:order val="1"/>
          <c:tx>
            <c:v>درآمد سالیانه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Sensitivity1!$A$6:$A$16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Sensitivity1!$E$6:$E$16</c:f>
              <c:numCache>
                <c:formatCode>#,##0</c:formatCode>
                <c:ptCount val="11"/>
                <c:pt idx="0">
                  <c:v>-8600297495.1819496</c:v>
                </c:pt>
                <c:pt idx="1">
                  <c:v>-2876617978.026783</c:v>
                </c:pt>
                <c:pt idx="2">
                  <c:v>2847061539.1283722</c:v>
                </c:pt>
                <c:pt idx="3">
                  <c:v>8570741056.2835388</c:v>
                </c:pt>
                <c:pt idx="4">
                  <c:v>14294420573.438683</c:v>
                </c:pt>
                <c:pt idx="5">
                  <c:v>20018100090.593857</c:v>
                </c:pt>
                <c:pt idx="6">
                  <c:v>25741779607.749008</c:v>
                </c:pt>
                <c:pt idx="7">
                  <c:v>31465459124.90419</c:v>
                </c:pt>
                <c:pt idx="8">
                  <c:v>37189138642.059334</c:v>
                </c:pt>
                <c:pt idx="9">
                  <c:v>42912818159.2145</c:v>
                </c:pt>
                <c:pt idx="10">
                  <c:v>48636497676.369667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F-4734-999E-D41D2B0FF4DB}"/>
            </c:ext>
          </c:extLst>
        </c:ser>
        <c:ser>
          <c:idx val="2"/>
          <c:order val="2"/>
          <c:tx>
            <c:v>هزینه اولیه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Sensitivity1!$A$6:$A$16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Sensitivity1!$H$6:$H$16</c:f>
              <c:numCache>
                <c:formatCode>#,##0</c:formatCode>
                <c:ptCount val="11"/>
                <c:pt idx="0">
                  <c:v>22886600490.593861</c:v>
                </c:pt>
                <c:pt idx="1">
                  <c:v>22312900410.593857</c:v>
                </c:pt>
                <c:pt idx="2">
                  <c:v>21739200330.593857</c:v>
                </c:pt>
                <c:pt idx="3">
                  <c:v>21165500250.593857</c:v>
                </c:pt>
                <c:pt idx="4">
                  <c:v>20591800170.593857</c:v>
                </c:pt>
                <c:pt idx="5">
                  <c:v>20018100090.593857</c:v>
                </c:pt>
                <c:pt idx="6">
                  <c:v>19444400010.593857</c:v>
                </c:pt>
                <c:pt idx="7">
                  <c:v>18870699930.593857</c:v>
                </c:pt>
                <c:pt idx="8">
                  <c:v>18296999850.593857</c:v>
                </c:pt>
                <c:pt idx="9">
                  <c:v>17723299770.593857</c:v>
                </c:pt>
                <c:pt idx="10">
                  <c:v>17149599690.593857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F-4734-999E-D41D2B0F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1400"/>
        <c:axId val="500393856"/>
      </c:scatterChart>
      <c:valAx>
        <c:axId val="5004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3856"/>
        <c:crosses val="autoZero"/>
        <c:crossBetween val="midCat"/>
      </c:valAx>
      <c:valAx>
        <c:axId val="5003938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59667541557304E-2"/>
          <c:y val="7.6423519976669588E-2"/>
          <c:w val="0.7364512248468941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هزینه سالانه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Sensitivity1!$J$6:$J$16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Sensitivity1!$K$6:$K$16</c:f>
              <c:numCache>
                <c:formatCode>#,##0</c:formatCode>
                <c:ptCount val="11"/>
                <c:pt idx="0">
                  <c:v>44079106656.051727</c:v>
                </c:pt>
                <c:pt idx="1">
                  <c:v>40752781632.415314</c:v>
                </c:pt>
                <c:pt idx="2">
                  <c:v>37426456608.7789</c:v>
                </c:pt>
                <c:pt idx="3">
                  <c:v>34100131585.14249</c:v>
                </c:pt>
                <c:pt idx="4">
                  <c:v>30773806561.506081</c:v>
                </c:pt>
                <c:pt idx="5">
                  <c:v>27447481537.869659</c:v>
                </c:pt>
                <c:pt idx="6">
                  <c:v>24121156514.233246</c:v>
                </c:pt>
                <c:pt idx="7">
                  <c:v>20794831490.596832</c:v>
                </c:pt>
                <c:pt idx="8">
                  <c:v>17468506466.960419</c:v>
                </c:pt>
                <c:pt idx="9">
                  <c:v>14142181443.323997</c:v>
                </c:pt>
                <c:pt idx="10">
                  <c:v>10815856419.687576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7-42E8-8E6E-8ADA75810AA4}"/>
            </c:ext>
          </c:extLst>
        </c:ser>
        <c:ser>
          <c:idx val="1"/>
          <c:order val="1"/>
          <c:tx>
            <c:v>درآمد سالیانه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Sensitivity1!$J$6:$J$16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Sensitivity1!$N$6:$N$16</c:f>
              <c:numCache>
                <c:formatCode>#,##0</c:formatCode>
                <c:ptCount val="11"/>
                <c:pt idx="0">
                  <c:v>-5788884749.247242</c:v>
                </c:pt>
                <c:pt idx="1">
                  <c:v>858388508.17613983</c:v>
                </c:pt>
                <c:pt idx="2">
                  <c:v>7505661765.5995178</c:v>
                </c:pt>
                <c:pt idx="3">
                  <c:v>14152935023.022896</c:v>
                </c:pt>
                <c:pt idx="4">
                  <c:v>20800208280.446274</c:v>
                </c:pt>
                <c:pt idx="5">
                  <c:v>27447481537.869659</c:v>
                </c:pt>
                <c:pt idx="6">
                  <c:v>34094754795.293037</c:v>
                </c:pt>
                <c:pt idx="7">
                  <c:v>40742028052.716423</c:v>
                </c:pt>
                <c:pt idx="8">
                  <c:v>47389301310.139809</c:v>
                </c:pt>
                <c:pt idx="9">
                  <c:v>54036574567.563179</c:v>
                </c:pt>
                <c:pt idx="10">
                  <c:v>60683847824.986565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7-42E8-8E6E-8ADA75810AA4}"/>
            </c:ext>
          </c:extLst>
        </c:ser>
        <c:ser>
          <c:idx val="2"/>
          <c:order val="2"/>
          <c:tx>
            <c:v>هزینه اولیه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Sensitivity1!$J$6:$J$16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Sensitivity1!$Q$6:$Q$16</c:f>
              <c:numCache>
                <c:formatCode>#,##0</c:formatCode>
                <c:ptCount val="11"/>
                <c:pt idx="0">
                  <c:v>30328481937.869659</c:v>
                </c:pt>
                <c:pt idx="1">
                  <c:v>29752281857.869659</c:v>
                </c:pt>
                <c:pt idx="2">
                  <c:v>29176081777.869659</c:v>
                </c:pt>
                <c:pt idx="3">
                  <c:v>28599881697.869652</c:v>
                </c:pt>
                <c:pt idx="4">
                  <c:v>28023681617.869659</c:v>
                </c:pt>
                <c:pt idx="5">
                  <c:v>27447481537.869659</c:v>
                </c:pt>
                <c:pt idx="6">
                  <c:v>26871281457.869659</c:v>
                </c:pt>
                <c:pt idx="7">
                  <c:v>26295081377.869659</c:v>
                </c:pt>
                <c:pt idx="8">
                  <c:v>25718881297.869659</c:v>
                </c:pt>
                <c:pt idx="9">
                  <c:v>25142681217.869659</c:v>
                </c:pt>
                <c:pt idx="10">
                  <c:v>24566481137.869659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7-42E8-8E6E-8ADA7581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12936"/>
        <c:axId val="498517856"/>
      </c:scatterChart>
      <c:valAx>
        <c:axId val="49851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7856"/>
        <c:crosses val="autoZero"/>
        <c:crossBetween val="midCat"/>
      </c:valAx>
      <c:valAx>
        <c:axId val="498517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Fast Food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Sensitivity2!$A$4:$A$12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Sensitivity2!$B$4:$B$12</c:f>
              <c:numCache>
                <c:formatCode>#,##0</c:formatCode>
                <c:ptCount val="9"/>
                <c:pt idx="0">
                  <c:v>-5737000800</c:v>
                </c:pt>
                <c:pt idx="1">
                  <c:v>-2362191709.0909095</c:v>
                </c:pt>
                <c:pt idx="2">
                  <c:v>1012617381.818181</c:v>
                </c:pt>
                <c:pt idx="3">
                  <c:v>4359535488.5048819</c:v>
                </c:pt>
                <c:pt idx="4">
                  <c:v>7655742714.7872391</c:v>
                </c:pt>
                <c:pt idx="5">
                  <c:v>10882798740.518217</c:v>
                </c:pt>
                <c:pt idx="6">
                  <c:v>14026035129.217222</c:v>
                </c:pt>
                <c:pt idx="7">
                  <c:v>17074021930.379892</c:v>
                </c:pt>
                <c:pt idx="8">
                  <c:v>20018100090.593834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9C8-A041-64433ABDD403}"/>
            </c:ext>
          </c:extLst>
        </c:ser>
        <c:ser>
          <c:idx val="1"/>
          <c:order val="1"/>
          <c:tx>
            <c:v>Take Away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Sensitivity2!$A$4:$A$12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Sensitivity2!$E$4:$E$12</c:f>
              <c:numCache>
                <c:formatCode>#,##0</c:formatCode>
                <c:ptCount val="9"/>
                <c:pt idx="0">
                  <c:v>-5762000800</c:v>
                </c:pt>
                <c:pt idx="1">
                  <c:v>-1410409890.909091</c:v>
                </c:pt>
                <c:pt idx="2">
                  <c:v>2941181018.1818171</c:v>
                </c:pt>
                <c:pt idx="3">
                  <c:v>7256808366.0405684</c:v>
                </c:pt>
                <c:pt idx="4">
                  <c:v>11507047420.749945</c:v>
                </c:pt>
                <c:pt idx="5">
                  <c:v>15668120621.164719</c:v>
                </c:pt>
                <c:pt idx="6">
                  <c:v>19721113998.192097</c:v>
                </c:pt>
                <c:pt idx="7">
                  <c:v>23651289394.097431</c:v>
                </c:pt>
                <c:pt idx="8">
                  <c:v>27447481537.869629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0-49C8-A041-64433ABD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66928"/>
        <c:axId val="437469880"/>
      </c:lineChart>
      <c:catAx>
        <c:axId val="4374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80"/>
        <c:crosses val="autoZero"/>
        <c:auto val="1"/>
        <c:lblAlgn val="ctr"/>
        <c:lblOffset val="100"/>
        <c:noMultiLvlLbl val="0"/>
      </c:catAx>
      <c:valAx>
        <c:axId val="4374698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800" b="0" i="0" baseline="0">
                <a:effectLst/>
              </a:rPr>
              <a:t>ناحیه پذیرفست فود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Sensitivity4!$A$3</c:f>
              <c:strCache>
                <c:ptCount val="1"/>
                <c:pt idx="0">
                  <c:v>هزینه سالانه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Sensitivity4!$B$4:$B$6</c:f>
              <c:numCache>
                <c:formatCode>#,##0_);\(#,##0\)</c:formatCode>
                <c:ptCount val="3"/>
                <c:pt idx="0">
                  <c:v>3000000000</c:v>
                </c:pt>
                <c:pt idx="1">
                  <c:v>5360000000</c:v>
                </c:pt>
                <c:pt idx="2">
                  <c:v>7630000000</c:v>
                </c:pt>
              </c:numCache>
            </c:numRef>
          </c:cat>
          <c:val>
            <c:numRef>
              <c:f>Sensitivity4!$A$4:$A$6</c:f>
              <c:numCache>
                <c:formatCode>#,##0</c:formatCode>
                <c:ptCount val="3"/>
                <c:pt idx="0">
                  <c:v>2268855000</c:v>
                </c:pt>
                <c:pt idx="1">
                  <c:v>4537710000</c:v>
                </c:pt>
                <c:pt idx="2">
                  <c:v>6806565000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9-4C62-947F-7AD2CC07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68080"/>
        <c:axId val="576268408"/>
      </c:lineChart>
      <c:catAx>
        <c:axId val="576268080"/>
        <c:scaling>
          <c:orientation val="minMax"/>
        </c:scaling>
        <c:delete val="0"/>
        <c:axPos val="b"/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08"/>
        <c:crosses val="autoZero"/>
        <c:auto val="1"/>
        <c:lblAlgn val="ctr"/>
        <c:lblOffset val="100"/>
        <c:noMultiLvlLbl val="0"/>
      </c:catAx>
      <c:valAx>
        <c:axId val="5762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800" b="0" i="0" baseline="0">
                <a:effectLst/>
              </a:rPr>
              <a:t>ناحیه پذیرش ببیرون بر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Sensitivity4!$D$3</c:f>
              <c:strCache>
                <c:ptCount val="1"/>
                <c:pt idx="0">
                  <c:v>هزینه سالانه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Sensitivity4!$E$4:$E$6</c:f>
              <c:numCache>
                <c:formatCode>#,##0_);\(#,##0\)</c:formatCode>
                <c:ptCount val="3"/>
                <c:pt idx="0">
                  <c:v>3200000000</c:v>
                </c:pt>
                <c:pt idx="1">
                  <c:v>5624193750</c:v>
                </c:pt>
                <c:pt idx="2">
                  <c:v>8022380625</c:v>
                </c:pt>
              </c:numCache>
            </c:numRef>
          </c:cat>
          <c:val>
            <c:numRef>
              <c:f>Sensitivity4!$D$4:$D$6</c:f>
              <c:numCache>
                <c:formatCode>#,##0</c:formatCode>
                <c:ptCount val="3"/>
                <c:pt idx="0">
                  <c:v>2397250000</c:v>
                </c:pt>
                <c:pt idx="1">
                  <c:v>4794500000</c:v>
                </c:pt>
                <c:pt idx="2">
                  <c:v>7191750000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1-4371-A166-092F57DB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93056"/>
        <c:axId val="576890432"/>
      </c:lineChart>
      <c:catAx>
        <c:axId val="576893056"/>
        <c:scaling>
          <c:orientation val="minMax"/>
        </c:scaling>
        <c:delete val="0"/>
        <c:axPos val="b"/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0432"/>
        <c:crosses val="autoZero"/>
        <c:auto val="1"/>
        <c:lblAlgn val="ctr"/>
        <c:lblOffset val="100"/>
        <c:noMultiLvlLbl val="0"/>
      </c:catAx>
      <c:valAx>
        <c:axId val="5768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6</xdr:col>
      <xdr:colOff>4647</xdr:colOff>
      <xdr:row>14</xdr:row>
      <xdr:rowOff>6569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2DC00C-9003-4979-81ED-92400F76A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110"/>
          <a:ext cx="3656671" cy="2473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0</xdr:colOff>
      <xdr:row>14</xdr:row>
      <xdr:rowOff>19707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C4A46F-2941-4D9C-930B-7CEC44E4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0707"/>
          <a:ext cx="3665483" cy="2509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17</xdr:row>
      <xdr:rowOff>33337</xdr:rowOff>
    </xdr:from>
    <xdr:to>
      <xdr:col>7</xdr:col>
      <xdr:colOff>261937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0313D-9DE0-46C3-8D55-05CBD2CA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490537</xdr:colOff>
      <xdr:row>16</xdr:row>
      <xdr:rowOff>176212</xdr:rowOff>
    </xdr:from>
    <xdr:to>
      <xdr:col>16</xdr:col>
      <xdr:colOff>366712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8DAA3-9024-438F-A430-F28EB666E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128587</xdr:rowOff>
    </xdr:from>
    <xdr:to>
      <xdr:col>6</xdr:col>
      <xdr:colOff>514350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64D8F-EF43-40CF-9C49-BEFF3CD06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52387</xdr:rowOff>
    </xdr:from>
    <xdr:to>
      <xdr:col>4</xdr:col>
      <xdr:colOff>904875</xdr:colOff>
      <xdr:row>22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7B453-D61E-45E1-8A19-2E898D3F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1104900</xdr:colOff>
      <xdr:row>7</xdr:row>
      <xdr:rowOff>176212</xdr:rowOff>
    </xdr:from>
    <xdr:to>
      <xdr:col>11</xdr:col>
      <xdr:colOff>419100</xdr:colOff>
      <xdr:row>22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8F5AB-5E3D-43F5-AD36-6F944F8F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opLeftCell="E10" zoomScaleNormal="100" workbookViewId="0">
      <selection activeCell="U14" sqref="U14"/>
    </sheetView>
  </sheetViews>
  <sheetFormatPr defaultColWidth="9.140625" defaultRowHeight="15" x14ac:dyDescent="0.25"/>
  <cols>
    <col min="1" max="1" width="9.140625" style="1" customWidth="1"/>
    <col min="2" max="2" width="9.28515625" style="1" customWidth="1"/>
    <col min="3" max="3" width="9.5703125" style="1" customWidth="1"/>
    <col min="4" max="4" width="24.85546875" style="1" customWidth="1"/>
    <col min="5" max="5" width="23.42578125" style="1" customWidth="1"/>
    <col min="6" max="6" width="23.85546875" style="1" customWidth="1"/>
    <col min="7" max="7" width="21.5703125" style="1" customWidth="1"/>
    <col min="8" max="10" width="9.140625" style="1"/>
    <col min="11" max="11" width="1.140625" style="1" customWidth="1"/>
    <col min="12" max="13" width="9.140625" style="1"/>
    <col min="14" max="14" width="9.140625" style="1" customWidth="1"/>
    <col min="15" max="15" width="25.42578125" style="1" customWidth="1"/>
    <col min="16" max="16" width="21.140625" style="1" customWidth="1"/>
    <col min="17" max="17" width="23.5703125" style="1" customWidth="1"/>
    <col min="18" max="18" width="24" style="1" customWidth="1"/>
    <col min="19" max="19" width="14.42578125" style="1" bestFit="1" customWidth="1"/>
    <col min="20" max="20" width="10" style="1" customWidth="1"/>
    <col min="21" max="21" width="9.85546875" style="1" customWidth="1"/>
    <col min="22" max="16384" width="9.140625" style="1"/>
  </cols>
  <sheetData>
    <row r="1" spans="1:22" ht="15.75" thickTop="1" x14ac:dyDescent="0.25">
      <c r="A1" s="59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8"/>
      <c r="L1" s="59" t="s">
        <v>67</v>
      </c>
      <c r="M1" s="60"/>
      <c r="N1" s="60"/>
      <c r="O1" s="60"/>
      <c r="P1" s="60"/>
      <c r="Q1" s="60"/>
      <c r="R1" s="60"/>
      <c r="S1" s="60"/>
      <c r="T1" s="60"/>
      <c r="U1" s="60"/>
      <c r="V1"/>
    </row>
    <row r="2" spans="1:22" x14ac:dyDescent="0.25">
      <c r="A2" s="4"/>
      <c r="B2" s="61" t="s">
        <v>0</v>
      </c>
      <c r="C2" s="61"/>
      <c r="D2" s="61"/>
      <c r="E2" s="61"/>
      <c r="F2" s="61"/>
      <c r="G2" s="61"/>
      <c r="H2" s="61"/>
      <c r="I2" s="61"/>
      <c r="J2" s="4"/>
      <c r="K2" s="69"/>
      <c r="L2" s="4"/>
      <c r="M2" s="61" t="s">
        <v>0</v>
      </c>
      <c r="N2" s="61"/>
      <c r="O2" s="61"/>
      <c r="P2" s="61"/>
      <c r="Q2" s="61"/>
      <c r="R2" s="61"/>
      <c r="S2" s="61"/>
      <c r="T2" s="61"/>
      <c r="U2" s="4"/>
      <c r="V2"/>
    </row>
    <row r="3" spans="1:22" x14ac:dyDescent="0.25">
      <c r="A3" s="4"/>
      <c r="B3" s="4"/>
      <c r="C3" s="62" t="s">
        <v>43</v>
      </c>
      <c r="D3" s="63"/>
      <c r="E3" s="63"/>
      <c r="F3" s="63"/>
      <c r="G3" s="63"/>
      <c r="H3" s="63"/>
      <c r="I3" s="4"/>
      <c r="J3" s="4"/>
      <c r="K3" s="69"/>
      <c r="L3" s="4"/>
      <c r="M3" s="4"/>
      <c r="N3" s="62" t="s">
        <v>43</v>
      </c>
      <c r="O3" s="63"/>
      <c r="P3" s="63"/>
      <c r="Q3" s="63"/>
      <c r="R3" s="63"/>
      <c r="S3" s="63"/>
      <c r="T3" s="4"/>
      <c r="U3" s="4"/>
      <c r="V3"/>
    </row>
    <row r="4" spans="1:22" x14ac:dyDescent="0.25">
      <c r="A4" s="4"/>
      <c r="B4" s="4"/>
      <c r="C4" s="4"/>
      <c r="D4" s="43" t="s">
        <v>37</v>
      </c>
      <c r="E4" s="44"/>
      <c r="F4" s="44"/>
      <c r="G4" s="45"/>
      <c r="H4" s="4"/>
      <c r="I4" s="4"/>
      <c r="J4" s="4"/>
      <c r="K4" s="69"/>
      <c r="L4" s="4"/>
      <c r="M4" s="4"/>
      <c r="N4" s="4"/>
      <c r="O4" s="43" t="s">
        <v>37</v>
      </c>
      <c r="P4" s="44"/>
      <c r="Q4" s="44"/>
      <c r="R4" s="45"/>
      <c r="S4" s="4"/>
      <c r="T4" s="4"/>
      <c r="U4" s="4"/>
      <c r="V4"/>
    </row>
    <row r="5" spans="1:22" x14ac:dyDescent="0.25">
      <c r="A5" s="4"/>
      <c r="B5" s="4"/>
      <c r="C5" s="4"/>
      <c r="D5" s="5" t="s">
        <v>3</v>
      </c>
      <c r="E5" s="6" t="s">
        <v>55</v>
      </c>
      <c r="F5" s="6" t="s">
        <v>54</v>
      </c>
      <c r="G5" s="6" t="s">
        <v>56</v>
      </c>
      <c r="H5" s="4"/>
      <c r="I5" s="4"/>
      <c r="J5" s="4"/>
      <c r="K5" s="69"/>
      <c r="L5" s="4"/>
      <c r="M5" s="4"/>
      <c r="N5" s="4"/>
      <c r="O5" s="5" t="s">
        <v>3</v>
      </c>
      <c r="P5" s="6" t="s">
        <v>55</v>
      </c>
      <c r="Q5" s="6" t="s">
        <v>54</v>
      </c>
      <c r="R5" s="6" t="s">
        <v>56</v>
      </c>
      <c r="S5" s="4"/>
      <c r="T5" s="4"/>
      <c r="U5" s="4"/>
      <c r="V5"/>
    </row>
    <row r="6" spans="1:22" x14ac:dyDescent="0.25">
      <c r="A6" s="4"/>
      <c r="B6" s="4"/>
      <c r="C6" s="4"/>
      <c r="D6" s="7" t="s">
        <v>57</v>
      </c>
      <c r="E6" s="4"/>
      <c r="F6" s="4"/>
      <c r="G6" s="4">
        <v>500000000</v>
      </c>
      <c r="H6" s="4"/>
      <c r="I6" s="4"/>
      <c r="J6" s="4"/>
      <c r="K6" s="69"/>
      <c r="L6" s="4"/>
      <c r="M6" s="4"/>
      <c r="N6" s="4"/>
      <c r="O6" s="7" t="s">
        <v>57</v>
      </c>
      <c r="P6" s="4"/>
      <c r="Q6" s="4"/>
      <c r="R6" s="4">
        <v>300000000</v>
      </c>
      <c r="S6" s="4"/>
      <c r="T6" s="4"/>
      <c r="U6" s="4"/>
      <c r="V6"/>
    </row>
    <row r="7" spans="1:22" x14ac:dyDescent="0.25">
      <c r="A7" s="4"/>
      <c r="B7" s="4"/>
      <c r="C7" s="4"/>
      <c r="D7" s="7" t="s">
        <v>2</v>
      </c>
      <c r="E7" s="4">
        <v>800</v>
      </c>
      <c r="F7" s="4">
        <v>1200000</v>
      </c>
      <c r="G7" s="4">
        <f>E7*F7</f>
        <v>960000000</v>
      </c>
      <c r="H7" s="4"/>
      <c r="I7" s="4"/>
      <c r="J7" s="4"/>
      <c r="K7" s="69"/>
      <c r="L7" s="4"/>
      <c r="M7" s="4"/>
      <c r="N7" s="4"/>
      <c r="O7" s="7" t="s">
        <v>68</v>
      </c>
      <c r="P7" s="4">
        <v>450</v>
      </c>
      <c r="Q7" s="4">
        <v>1200000</v>
      </c>
      <c r="R7" s="4">
        <f>P7*Q7</f>
        <v>540000000</v>
      </c>
      <c r="S7" s="4"/>
      <c r="T7" s="4"/>
      <c r="U7" s="4"/>
      <c r="V7"/>
    </row>
    <row r="8" spans="1:22" x14ac:dyDescent="0.25">
      <c r="A8" s="4"/>
      <c r="B8" s="4"/>
      <c r="C8" s="4"/>
      <c r="D8" s="7" t="s">
        <v>4</v>
      </c>
      <c r="E8" s="4">
        <v>300</v>
      </c>
      <c r="F8" s="4">
        <v>3000000</v>
      </c>
      <c r="G8" s="4">
        <f t="shared" ref="G8:G11" si="0">E8*F8</f>
        <v>900000000</v>
      </c>
      <c r="H8" s="4"/>
      <c r="I8" s="4"/>
      <c r="J8" s="4"/>
      <c r="K8" s="69"/>
      <c r="L8" s="4"/>
      <c r="M8" s="4"/>
      <c r="N8" s="4"/>
      <c r="O8" s="7" t="s">
        <v>49</v>
      </c>
      <c r="P8" s="4">
        <v>120</v>
      </c>
      <c r="Q8" s="4">
        <v>2500000</v>
      </c>
      <c r="R8" s="4">
        <f>P8*Q8</f>
        <v>300000000</v>
      </c>
      <c r="S8" s="4"/>
      <c r="T8" s="4"/>
      <c r="U8" s="4"/>
      <c r="V8"/>
    </row>
    <row r="9" spans="1:22" x14ac:dyDescent="0.25">
      <c r="A9" s="4"/>
      <c r="B9" s="4"/>
      <c r="C9" s="4"/>
      <c r="D9" s="7" t="s">
        <v>49</v>
      </c>
      <c r="E9" s="4">
        <v>70</v>
      </c>
      <c r="F9" s="4">
        <v>2500000</v>
      </c>
      <c r="G9" s="4">
        <f t="shared" si="0"/>
        <v>175000000</v>
      </c>
      <c r="H9" s="4"/>
      <c r="I9" s="4"/>
      <c r="J9" s="4"/>
      <c r="K9" s="69"/>
      <c r="L9" s="4"/>
      <c r="M9" s="4"/>
      <c r="N9" s="4"/>
      <c r="O9" s="7" t="s">
        <v>5</v>
      </c>
      <c r="P9" s="4">
        <v>85</v>
      </c>
      <c r="Q9" s="4">
        <v>2000000</v>
      </c>
      <c r="R9" s="4">
        <f>P9*Q9</f>
        <v>170000000</v>
      </c>
      <c r="S9" s="4"/>
      <c r="T9" s="4"/>
      <c r="U9" s="4"/>
      <c r="V9"/>
    </row>
    <row r="10" spans="1:22" x14ac:dyDescent="0.25">
      <c r="A10" s="4"/>
      <c r="B10" s="4"/>
      <c r="C10" s="4"/>
      <c r="D10" s="7" t="s">
        <v>5</v>
      </c>
      <c r="E10" s="4">
        <v>70</v>
      </c>
      <c r="F10" s="4">
        <v>2000000</v>
      </c>
      <c r="G10" s="4">
        <f t="shared" si="0"/>
        <v>140000000</v>
      </c>
      <c r="H10" s="4"/>
      <c r="I10" s="4"/>
      <c r="J10" s="4"/>
      <c r="K10" s="69"/>
      <c r="L10" s="4"/>
      <c r="M10" s="4"/>
      <c r="N10" s="4"/>
      <c r="O10" s="42" t="s">
        <v>50</v>
      </c>
      <c r="P10" s="42"/>
      <c r="Q10" s="42"/>
      <c r="R10" s="8">
        <f>SUM(R6:R9)</f>
        <v>1310000000</v>
      </c>
      <c r="S10" s="4"/>
      <c r="T10" s="4"/>
      <c r="U10" s="4"/>
      <c r="V10"/>
    </row>
    <row r="11" spans="1:22" x14ac:dyDescent="0.25">
      <c r="A11" s="4"/>
      <c r="B11" s="4"/>
      <c r="C11" s="4"/>
      <c r="D11" s="7" t="s">
        <v>1</v>
      </c>
      <c r="E11" s="4">
        <v>30</v>
      </c>
      <c r="F11" s="4">
        <v>2000000</v>
      </c>
      <c r="G11" s="4">
        <f t="shared" si="0"/>
        <v>60000000</v>
      </c>
      <c r="H11" s="4"/>
      <c r="I11" s="4"/>
      <c r="J11" s="4"/>
      <c r="K11" s="69"/>
      <c r="L11" s="4"/>
      <c r="M11" s="4"/>
      <c r="N11" s="4"/>
      <c r="O11" s="43" t="s">
        <v>6</v>
      </c>
      <c r="P11" s="44"/>
      <c r="Q11" s="44"/>
      <c r="R11" s="45"/>
      <c r="S11" s="4"/>
      <c r="T11" s="4"/>
      <c r="U11" s="4"/>
      <c r="V11"/>
    </row>
    <row r="12" spans="1:22" x14ac:dyDescent="0.25">
      <c r="A12" s="4"/>
      <c r="B12" s="4"/>
      <c r="C12" s="4"/>
      <c r="D12" s="42" t="s">
        <v>50</v>
      </c>
      <c r="E12" s="42"/>
      <c r="F12" s="42"/>
      <c r="G12" s="8">
        <f>SUM(G6:G11)</f>
        <v>2735000000</v>
      </c>
      <c r="H12" s="4"/>
      <c r="I12" s="4"/>
      <c r="J12" s="4"/>
      <c r="K12" s="69"/>
      <c r="L12" s="4"/>
      <c r="M12" s="4"/>
      <c r="N12" s="4"/>
      <c r="O12" s="6" t="s">
        <v>14</v>
      </c>
      <c r="P12" s="6"/>
      <c r="Q12" s="6"/>
      <c r="R12" s="6" t="s">
        <v>59</v>
      </c>
      <c r="S12" s="4"/>
      <c r="T12" s="4"/>
      <c r="U12" s="4"/>
      <c r="V12"/>
    </row>
    <row r="13" spans="1:22" x14ac:dyDescent="0.25">
      <c r="A13" s="4"/>
      <c r="B13" s="4"/>
      <c r="C13" s="4"/>
      <c r="D13" s="43" t="s">
        <v>6</v>
      </c>
      <c r="E13" s="44"/>
      <c r="F13" s="44"/>
      <c r="G13" s="45"/>
      <c r="H13" s="4"/>
      <c r="I13" s="4"/>
      <c r="J13" s="4"/>
      <c r="K13" s="69"/>
      <c r="L13" s="4"/>
      <c r="M13" s="4"/>
      <c r="N13" s="4"/>
      <c r="O13" s="4" t="s">
        <v>13</v>
      </c>
      <c r="P13" s="4"/>
      <c r="Q13" s="4"/>
      <c r="R13" s="4">
        <v>3000000000</v>
      </c>
      <c r="S13" s="4"/>
      <c r="T13" s="4"/>
      <c r="U13" s="4"/>
      <c r="V13"/>
    </row>
    <row r="14" spans="1:22" x14ac:dyDescent="0.25">
      <c r="A14" s="4"/>
      <c r="B14" s="4"/>
      <c r="C14" s="4"/>
      <c r="D14" s="6" t="s">
        <v>14</v>
      </c>
      <c r="E14" s="6"/>
      <c r="F14" s="6"/>
      <c r="G14" s="6" t="s">
        <v>59</v>
      </c>
      <c r="H14" s="4"/>
      <c r="I14" s="4"/>
      <c r="J14" s="4"/>
      <c r="K14" s="69"/>
      <c r="L14" s="4"/>
      <c r="M14" s="4"/>
      <c r="N14" s="4"/>
      <c r="O14" s="4" t="s">
        <v>69</v>
      </c>
      <c r="P14" s="4"/>
      <c r="Q14" s="4"/>
      <c r="R14" s="4">
        <v>120000000</v>
      </c>
      <c r="S14" s="4"/>
      <c r="T14" s="4"/>
      <c r="U14" s="4"/>
      <c r="V14"/>
    </row>
    <row r="15" spans="1:22" x14ac:dyDescent="0.25">
      <c r="A15" s="4"/>
      <c r="B15" s="4"/>
      <c r="C15" s="4"/>
      <c r="D15" s="4" t="s">
        <v>13</v>
      </c>
      <c r="E15" s="4"/>
      <c r="F15" s="4"/>
      <c r="G15" s="4">
        <v>1000000000</v>
      </c>
      <c r="H15" s="4"/>
      <c r="I15" s="4"/>
      <c r="J15" s="4"/>
      <c r="K15" s="69"/>
      <c r="L15" s="4"/>
      <c r="M15" s="4"/>
      <c r="N15" s="4"/>
      <c r="O15" s="4" t="s">
        <v>10</v>
      </c>
      <c r="P15" s="4"/>
      <c r="Q15" s="4"/>
      <c r="R15" s="4">
        <v>103000000</v>
      </c>
      <c r="S15" s="4"/>
      <c r="T15" s="4"/>
      <c r="U15" s="4"/>
      <c r="V15"/>
    </row>
    <row r="16" spans="1:22" x14ac:dyDescent="0.25">
      <c r="A16" s="4"/>
      <c r="B16" s="4"/>
      <c r="C16" s="4"/>
      <c r="D16" s="4" t="s">
        <v>12</v>
      </c>
      <c r="E16" s="4"/>
      <c r="F16" s="4"/>
      <c r="G16" s="4">
        <v>400000000</v>
      </c>
      <c r="H16" s="4"/>
      <c r="I16" s="4"/>
      <c r="J16" s="4"/>
      <c r="K16" s="69"/>
      <c r="L16" s="4"/>
      <c r="M16" s="4"/>
      <c r="N16" s="4"/>
      <c r="O16" s="4" t="s">
        <v>9</v>
      </c>
      <c r="P16" s="4"/>
      <c r="Q16" s="4"/>
      <c r="R16" s="3">
        <v>340000000</v>
      </c>
      <c r="S16" s="4"/>
      <c r="T16" s="4"/>
      <c r="U16" s="4"/>
      <c r="V16"/>
    </row>
    <row r="17" spans="1:22" x14ac:dyDescent="0.25">
      <c r="A17" s="4"/>
      <c r="B17" s="4"/>
      <c r="C17" s="4"/>
      <c r="D17" s="4" t="s">
        <v>11</v>
      </c>
      <c r="E17" s="4"/>
      <c r="F17" s="4"/>
      <c r="G17" s="4">
        <v>250000000</v>
      </c>
      <c r="H17" s="4"/>
      <c r="I17" s="4"/>
      <c r="J17" s="4"/>
      <c r="K17" s="69"/>
      <c r="L17" s="4"/>
      <c r="M17" s="4"/>
      <c r="N17" s="4"/>
      <c r="O17" s="4" t="s">
        <v>8</v>
      </c>
      <c r="P17" s="4"/>
      <c r="Q17" s="4"/>
      <c r="R17" s="3">
        <v>165000800</v>
      </c>
      <c r="S17" s="4"/>
      <c r="T17" s="4"/>
      <c r="U17" s="4"/>
      <c r="V17"/>
    </row>
    <row r="18" spans="1:22" x14ac:dyDescent="0.25">
      <c r="A18" s="4"/>
      <c r="B18" s="4"/>
      <c r="C18" s="4"/>
      <c r="D18" s="4" t="s">
        <v>10</v>
      </c>
      <c r="E18" s="4"/>
      <c r="F18" s="4"/>
      <c r="G18" s="4">
        <v>103000000</v>
      </c>
      <c r="H18" s="4"/>
      <c r="I18" s="4"/>
      <c r="J18" s="4"/>
      <c r="K18" s="69"/>
      <c r="L18" s="4"/>
      <c r="M18" s="4"/>
      <c r="N18" s="4"/>
      <c r="O18" s="4" t="s">
        <v>7</v>
      </c>
      <c r="P18" s="4"/>
      <c r="Q18" s="4"/>
      <c r="R18" s="3">
        <v>300000000</v>
      </c>
      <c r="S18" s="4"/>
      <c r="T18" s="4"/>
      <c r="U18" s="4"/>
      <c r="V18"/>
    </row>
    <row r="19" spans="1:22" x14ac:dyDescent="0.25">
      <c r="A19" s="4"/>
      <c r="B19" s="4"/>
      <c r="C19" s="4"/>
      <c r="D19" s="4" t="s">
        <v>9</v>
      </c>
      <c r="E19" s="4"/>
      <c r="F19" s="4"/>
      <c r="G19" s="3">
        <v>340000000</v>
      </c>
      <c r="H19" s="4"/>
      <c r="I19" s="4"/>
      <c r="J19" s="4"/>
      <c r="K19" s="69"/>
      <c r="L19" s="4"/>
      <c r="M19" s="4"/>
      <c r="N19" s="4"/>
      <c r="O19" s="42" t="s">
        <v>50</v>
      </c>
      <c r="P19" s="42"/>
      <c r="Q19" s="42"/>
      <c r="R19" s="8">
        <f>SUM(R13:R18)</f>
        <v>4028000800</v>
      </c>
      <c r="S19" s="4"/>
      <c r="T19" s="4"/>
      <c r="U19" s="4"/>
      <c r="V19"/>
    </row>
    <row r="20" spans="1:22" x14ac:dyDescent="0.25">
      <c r="A20" s="4"/>
      <c r="B20" s="4"/>
      <c r="C20" s="4"/>
      <c r="D20" s="4" t="s">
        <v>8</v>
      </c>
      <c r="E20" s="4"/>
      <c r="F20" s="4"/>
      <c r="G20" s="3">
        <v>165000800</v>
      </c>
      <c r="H20" s="4"/>
      <c r="I20" s="4"/>
      <c r="J20" s="4"/>
      <c r="K20" s="69"/>
      <c r="L20" s="4"/>
      <c r="M20" s="4"/>
      <c r="N20" s="4"/>
      <c r="O20" s="43" t="s">
        <v>15</v>
      </c>
      <c r="P20" s="44"/>
      <c r="Q20" s="44"/>
      <c r="R20" s="45"/>
      <c r="S20" s="4"/>
      <c r="T20" s="4"/>
      <c r="U20" s="4"/>
      <c r="V20"/>
    </row>
    <row r="21" spans="1:22" x14ac:dyDescent="0.25">
      <c r="A21" s="4"/>
      <c r="B21" s="4"/>
      <c r="C21" s="4"/>
      <c r="D21" s="4" t="s">
        <v>7</v>
      </c>
      <c r="E21" s="4"/>
      <c r="F21" s="4"/>
      <c r="G21" s="3">
        <v>500000000</v>
      </c>
      <c r="H21" s="4"/>
      <c r="I21" s="4"/>
      <c r="J21" s="4"/>
      <c r="K21" s="69"/>
      <c r="L21" s="4"/>
      <c r="M21" s="4"/>
      <c r="N21" s="4"/>
      <c r="O21" s="6" t="s">
        <v>19</v>
      </c>
      <c r="P21" s="6" t="s">
        <v>18</v>
      </c>
      <c r="Q21" s="6" t="s">
        <v>58</v>
      </c>
      <c r="R21" s="6" t="s">
        <v>60</v>
      </c>
      <c r="S21" s="4"/>
      <c r="T21" s="4"/>
      <c r="U21" s="4"/>
      <c r="V21"/>
    </row>
    <row r="22" spans="1:22" x14ac:dyDescent="0.25">
      <c r="A22" s="4"/>
      <c r="B22" s="4"/>
      <c r="C22" s="4"/>
      <c r="D22" s="42" t="s">
        <v>50</v>
      </c>
      <c r="E22" s="42"/>
      <c r="F22" s="42"/>
      <c r="G22" s="8">
        <f>SUM(G15:G21)</f>
        <v>2758000800</v>
      </c>
      <c r="H22" s="4"/>
      <c r="I22" s="4"/>
      <c r="J22" s="4"/>
      <c r="K22" s="69"/>
      <c r="L22" s="4"/>
      <c r="M22" s="4"/>
      <c r="N22" s="4"/>
      <c r="O22" s="4" t="s">
        <v>17</v>
      </c>
      <c r="P22" s="4">
        <v>2</v>
      </c>
      <c r="Q22" s="4">
        <v>120000000</v>
      </c>
      <c r="R22" s="4">
        <f>P22*Q22</f>
        <v>240000000</v>
      </c>
      <c r="S22" s="4"/>
      <c r="T22" s="4"/>
      <c r="U22" s="4"/>
      <c r="V22"/>
    </row>
    <row r="23" spans="1:22" x14ac:dyDescent="0.25">
      <c r="A23" s="4"/>
      <c r="B23" s="4"/>
      <c r="C23" s="4"/>
      <c r="D23" s="43" t="s">
        <v>15</v>
      </c>
      <c r="E23" s="44"/>
      <c r="F23" s="44"/>
      <c r="G23" s="45"/>
      <c r="H23" s="4"/>
      <c r="I23" s="4"/>
      <c r="J23" s="4"/>
      <c r="K23" s="69"/>
      <c r="L23" s="4"/>
      <c r="M23" s="4"/>
      <c r="N23" s="4"/>
      <c r="O23" s="4" t="s">
        <v>16</v>
      </c>
      <c r="P23" s="4">
        <v>6</v>
      </c>
      <c r="Q23" s="4">
        <v>20000000</v>
      </c>
      <c r="R23" s="4">
        <f>P23*Q23</f>
        <v>120000000</v>
      </c>
      <c r="S23" s="4"/>
      <c r="T23" s="4"/>
      <c r="U23" s="4"/>
      <c r="V23"/>
    </row>
    <row r="24" spans="1:22" x14ac:dyDescent="0.25">
      <c r="A24" s="4"/>
      <c r="B24" s="4"/>
      <c r="C24" s="4"/>
      <c r="D24" s="6" t="s">
        <v>19</v>
      </c>
      <c r="E24" s="6" t="s">
        <v>18</v>
      </c>
      <c r="F24" s="6" t="s">
        <v>58</v>
      </c>
      <c r="G24" s="6" t="s">
        <v>60</v>
      </c>
      <c r="H24" s="4"/>
      <c r="I24" s="4"/>
      <c r="J24" s="4"/>
      <c r="K24" s="69"/>
      <c r="L24" s="4"/>
      <c r="M24" s="4"/>
      <c r="N24" s="4"/>
      <c r="O24" s="42" t="s">
        <v>50</v>
      </c>
      <c r="P24" s="42"/>
      <c r="Q24" s="42"/>
      <c r="R24" s="8">
        <f>SUM(R22:R23)</f>
        <v>360000000</v>
      </c>
      <c r="S24" s="4"/>
      <c r="T24" s="4"/>
      <c r="U24" s="4"/>
      <c r="V24"/>
    </row>
    <row r="25" spans="1:22" x14ac:dyDescent="0.25">
      <c r="A25" s="4"/>
      <c r="B25" s="4"/>
      <c r="C25" s="4"/>
      <c r="D25" s="4" t="s">
        <v>17</v>
      </c>
      <c r="E25" s="4">
        <v>1</v>
      </c>
      <c r="F25" s="4">
        <v>120000000</v>
      </c>
      <c r="G25" s="4">
        <f>E25*F25</f>
        <v>120000000</v>
      </c>
      <c r="H25" s="4"/>
      <c r="I25" s="4"/>
      <c r="J25" s="4"/>
      <c r="K25" s="69"/>
      <c r="L25" s="4"/>
      <c r="M25" s="4"/>
      <c r="N25" s="4"/>
      <c r="O25" s="43" t="s">
        <v>41</v>
      </c>
      <c r="P25" s="44"/>
      <c r="Q25" s="44"/>
      <c r="R25" s="45"/>
      <c r="S25" s="4"/>
      <c r="T25" s="4"/>
      <c r="U25" s="4"/>
      <c r="V25"/>
    </row>
    <row r="26" spans="1:22" x14ac:dyDescent="0.25">
      <c r="A26" s="4"/>
      <c r="B26" s="4"/>
      <c r="C26" s="4"/>
      <c r="D26" s="4" t="s">
        <v>16</v>
      </c>
      <c r="E26" s="4">
        <v>3</v>
      </c>
      <c r="F26" s="4">
        <v>20000000</v>
      </c>
      <c r="G26" s="4">
        <f>E26*F26</f>
        <v>60000000</v>
      </c>
      <c r="H26" s="4"/>
      <c r="I26" s="4"/>
      <c r="J26" s="4"/>
      <c r="K26" s="69"/>
      <c r="L26" s="4"/>
      <c r="M26" s="4"/>
      <c r="N26" s="4"/>
      <c r="O26" s="6" t="s">
        <v>3</v>
      </c>
      <c r="P26" s="6"/>
      <c r="Q26" s="6"/>
      <c r="R26" s="6" t="s">
        <v>60</v>
      </c>
      <c r="S26" s="4"/>
      <c r="T26" s="4"/>
      <c r="U26" s="4"/>
      <c r="V26"/>
    </row>
    <row r="27" spans="1:22" x14ac:dyDescent="0.25">
      <c r="A27" s="4"/>
      <c r="B27" s="4"/>
      <c r="C27" s="4"/>
      <c r="D27" s="42" t="s">
        <v>50</v>
      </c>
      <c r="E27" s="42"/>
      <c r="F27" s="42"/>
      <c r="G27" s="8">
        <f>SUM(G25:G26)</f>
        <v>180000000</v>
      </c>
      <c r="H27" s="4"/>
      <c r="I27" s="4"/>
      <c r="J27" s="4"/>
      <c r="K27" s="69"/>
      <c r="L27" s="4"/>
      <c r="M27" s="4"/>
      <c r="N27" s="4"/>
      <c r="O27" s="57" t="s">
        <v>40</v>
      </c>
      <c r="P27" s="57"/>
      <c r="Q27" s="57"/>
      <c r="R27" s="4">
        <v>64000000</v>
      </c>
      <c r="S27" s="4"/>
      <c r="T27" s="4"/>
      <c r="U27" s="4"/>
      <c r="V27"/>
    </row>
    <row r="28" spans="1:22" ht="15.75" thickBot="1" x14ac:dyDescent="0.3">
      <c r="A28" s="4"/>
      <c r="B28" s="4"/>
      <c r="C28" s="4"/>
      <c r="D28" s="43" t="s">
        <v>41</v>
      </c>
      <c r="E28" s="44"/>
      <c r="F28" s="44"/>
      <c r="G28" s="45"/>
      <c r="H28" s="4"/>
      <c r="I28" s="4"/>
      <c r="J28" s="4"/>
      <c r="K28" s="69"/>
      <c r="L28" s="4"/>
      <c r="M28" s="4"/>
      <c r="N28" s="4"/>
      <c r="O28" s="58" t="s">
        <v>50</v>
      </c>
      <c r="P28" s="58"/>
      <c r="Q28" s="58"/>
      <c r="R28" s="8">
        <f>SUM(R27)</f>
        <v>64000000</v>
      </c>
      <c r="S28" s="4"/>
      <c r="T28" s="4"/>
      <c r="U28" s="4"/>
      <c r="V28"/>
    </row>
    <row r="29" spans="1:22" ht="16.5" thickTop="1" thickBot="1" x14ac:dyDescent="0.3">
      <c r="A29" s="4"/>
      <c r="B29" s="4"/>
      <c r="C29" s="4"/>
      <c r="D29" s="6" t="s">
        <v>3</v>
      </c>
      <c r="E29" s="6"/>
      <c r="F29" s="6"/>
      <c r="G29" s="6" t="s">
        <v>60</v>
      </c>
      <c r="H29" s="4"/>
      <c r="I29" s="4"/>
      <c r="J29" s="4"/>
      <c r="K29" s="69"/>
      <c r="L29" s="4"/>
      <c r="M29" s="4"/>
      <c r="N29" s="4"/>
      <c r="O29" s="9"/>
      <c r="P29" s="9"/>
      <c r="Q29" s="54" t="s">
        <v>64</v>
      </c>
      <c r="R29" s="55"/>
      <c r="S29" s="46">
        <f>SUM(R10,R19,R24,R28)</f>
        <v>5762000800</v>
      </c>
      <c r="T29" s="47"/>
      <c r="U29" s="4"/>
      <c r="V29"/>
    </row>
    <row r="30" spans="1:22" ht="15.75" thickTop="1" x14ac:dyDescent="0.25">
      <c r="A30" s="4"/>
      <c r="B30" s="4"/>
      <c r="C30" s="4"/>
      <c r="D30" s="57" t="s">
        <v>40</v>
      </c>
      <c r="E30" s="57"/>
      <c r="F30" s="57"/>
      <c r="G30" s="4">
        <v>64000000</v>
      </c>
      <c r="H30" s="4"/>
      <c r="I30" s="4"/>
      <c r="J30" s="4"/>
      <c r="K30" s="69"/>
      <c r="L30" s="4"/>
      <c r="M30" s="4"/>
      <c r="N30" s="56" t="s">
        <v>51</v>
      </c>
      <c r="O30" s="56"/>
      <c r="P30" s="56"/>
      <c r="Q30" s="56"/>
      <c r="R30" s="56"/>
      <c r="S30" s="56"/>
      <c r="T30" s="4"/>
      <c r="U30" s="4"/>
      <c r="V30"/>
    </row>
    <row r="31" spans="1:22" x14ac:dyDescent="0.25">
      <c r="A31" s="4"/>
      <c r="B31" s="4"/>
      <c r="C31" s="4"/>
      <c r="D31" s="58" t="s">
        <v>50</v>
      </c>
      <c r="E31" s="58"/>
      <c r="F31" s="58"/>
      <c r="G31" s="8">
        <f>SUM(G30)</f>
        <v>64000000</v>
      </c>
      <c r="H31" s="4"/>
      <c r="I31" s="4"/>
      <c r="J31" s="4"/>
      <c r="K31" s="69"/>
      <c r="L31" s="4"/>
      <c r="M31" s="4"/>
      <c r="N31" s="4"/>
      <c r="O31" s="43" t="s">
        <v>39</v>
      </c>
      <c r="P31" s="44"/>
      <c r="Q31" s="44"/>
      <c r="R31" s="45"/>
      <c r="S31" s="4"/>
      <c r="T31" s="4"/>
      <c r="U31" s="4"/>
      <c r="V31"/>
    </row>
    <row r="32" spans="1:22" ht="15.75" thickBot="1" x14ac:dyDescent="0.3">
      <c r="A32" s="4"/>
      <c r="B32" s="4"/>
      <c r="C32" s="4"/>
      <c r="D32" s="43"/>
      <c r="E32" s="44"/>
      <c r="F32" s="44"/>
      <c r="G32" s="45"/>
      <c r="H32" s="4"/>
      <c r="I32" s="4"/>
      <c r="J32" s="4"/>
      <c r="K32" s="69"/>
      <c r="L32" s="4"/>
      <c r="M32" s="4"/>
      <c r="N32" s="4"/>
      <c r="O32" s="6" t="s">
        <v>3</v>
      </c>
      <c r="P32" s="6"/>
      <c r="Q32" s="6"/>
      <c r="R32" s="6" t="s">
        <v>60</v>
      </c>
      <c r="S32" s="4"/>
      <c r="T32" s="4"/>
      <c r="U32" s="4"/>
      <c r="V32"/>
    </row>
    <row r="33" spans="1:22" ht="16.5" thickTop="1" thickBot="1" x14ac:dyDescent="0.3">
      <c r="A33" s="4"/>
      <c r="B33" s="4"/>
      <c r="C33" s="4"/>
      <c r="D33" s="9"/>
      <c r="E33" s="9"/>
      <c r="F33" s="65" t="s">
        <v>64</v>
      </c>
      <c r="G33" s="65"/>
      <c r="H33" s="64">
        <f>SUM(G31,G27,G22,G12)</f>
        <v>5737000800</v>
      </c>
      <c r="I33" s="64"/>
      <c r="J33" s="4"/>
      <c r="K33" s="69"/>
      <c r="L33" s="4"/>
      <c r="M33" s="4"/>
      <c r="N33" s="4"/>
      <c r="O33" s="4" t="s">
        <v>25</v>
      </c>
      <c r="P33" s="4"/>
      <c r="Q33" s="4"/>
      <c r="R33" s="4">
        <v>500000000</v>
      </c>
      <c r="S33" s="4"/>
      <c r="T33" s="4"/>
      <c r="U33" s="4"/>
      <c r="V33"/>
    </row>
    <row r="34" spans="1:22" ht="15.75" thickTop="1" x14ac:dyDescent="0.25">
      <c r="A34" s="4"/>
      <c r="B34" s="4"/>
      <c r="C34" s="56" t="s">
        <v>51</v>
      </c>
      <c r="D34" s="56"/>
      <c r="E34" s="56"/>
      <c r="F34" s="56"/>
      <c r="G34" s="56"/>
      <c r="H34" s="56"/>
      <c r="I34" s="4"/>
      <c r="J34" s="4"/>
      <c r="K34" s="69"/>
      <c r="L34" s="4"/>
      <c r="M34" s="4"/>
      <c r="N34" s="4"/>
      <c r="O34" s="4" t="s">
        <v>24</v>
      </c>
      <c r="P34" s="4"/>
      <c r="Q34" s="4"/>
      <c r="R34" s="4">
        <v>400000000</v>
      </c>
      <c r="S34" s="4"/>
      <c r="T34" s="4"/>
      <c r="U34" s="4"/>
      <c r="V34"/>
    </row>
    <row r="35" spans="1:22" x14ac:dyDescent="0.25">
      <c r="A35" s="4"/>
      <c r="B35" s="4"/>
      <c r="C35" s="4"/>
      <c r="D35" s="43" t="s">
        <v>39</v>
      </c>
      <c r="E35" s="44"/>
      <c r="F35" s="44"/>
      <c r="G35" s="45"/>
      <c r="H35" s="4"/>
      <c r="I35" s="4"/>
      <c r="J35" s="4"/>
      <c r="K35" s="69"/>
      <c r="L35" s="4"/>
      <c r="M35" s="4"/>
      <c r="N35" s="4"/>
      <c r="O35" s="4" t="s">
        <v>23</v>
      </c>
      <c r="P35" s="4"/>
      <c r="Q35" s="4"/>
      <c r="R35" s="4">
        <v>210000000</v>
      </c>
      <c r="S35" s="4"/>
      <c r="T35" s="4"/>
      <c r="U35" s="4"/>
      <c r="V35"/>
    </row>
    <row r="36" spans="1:22" x14ac:dyDescent="0.25">
      <c r="A36" s="4"/>
      <c r="B36" s="4"/>
      <c r="C36" s="4"/>
      <c r="D36" s="6" t="s">
        <v>3</v>
      </c>
      <c r="E36" s="6"/>
      <c r="F36" s="6"/>
      <c r="G36" s="6" t="s">
        <v>60</v>
      </c>
      <c r="H36" s="4"/>
      <c r="I36" s="4"/>
      <c r="J36" s="4"/>
      <c r="K36" s="69"/>
      <c r="L36" s="4"/>
      <c r="M36" s="4"/>
      <c r="N36" s="4"/>
      <c r="O36" s="4" t="s">
        <v>22</v>
      </c>
      <c r="P36" s="4"/>
      <c r="Q36" s="4"/>
      <c r="R36" s="4">
        <v>37500000</v>
      </c>
      <c r="S36" s="4"/>
      <c r="T36" s="4"/>
      <c r="U36" s="4"/>
      <c r="V36"/>
    </row>
    <row r="37" spans="1:22" x14ac:dyDescent="0.25">
      <c r="A37" s="4"/>
      <c r="B37" s="4"/>
      <c r="C37" s="4"/>
      <c r="D37" s="4" t="s">
        <v>25</v>
      </c>
      <c r="E37" s="4"/>
      <c r="F37" s="4"/>
      <c r="G37" s="4">
        <v>612000000</v>
      </c>
      <c r="H37" s="4"/>
      <c r="I37" s="4"/>
      <c r="J37" s="4"/>
      <c r="K37" s="69"/>
      <c r="L37" s="4"/>
      <c r="M37" s="4"/>
      <c r="N37" s="4"/>
      <c r="O37" s="4" t="s">
        <v>21</v>
      </c>
      <c r="P37" s="4"/>
      <c r="Q37" s="4"/>
      <c r="R37" s="4">
        <v>260000000</v>
      </c>
      <c r="S37" s="4"/>
      <c r="T37" s="4"/>
      <c r="U37" s="4"/>
      <c r="V37"/>
    </row>
    <row r="38" spans="1:22" x14ac:dyDescent="0.25">
      <c r="A38" s="4"/>
      <c r="B38" s="4"/>
      <c r="C38" s="4"/>
      <c r="D38" s="4" t="s">
        <v>24</v>
      </c>
      <c r="E38" s="4"/>
      <c r="F38" s="4"/>
      <c r="G38" s="4">
        <v>400000000</v>
      </c>
      <c r="H38" s="4"/>
      <c r="I38" s="4"/>
      <c r="J38"/>
      <c r="K38" s="69"/>
      <c r="L38" s="4"/>
      <c r="M38" s="4"/>
      <c r="N38" s="4"/>
      <c r="O38" s="4" t="s">
        <v>38</v>
      </c>
      <c r="P38" s="4"/>
      <c r="Q38" s="4"/>
      <c r="R38" s="4">
        <v>1200000000</v>
      </c>
      <c r="S38" s="4"/>
      <c r="T38" s="4"/>
      <c r="U38"/>
      <c r="V38"/>
    </row>
    <row r="39" spans="1:22" x14ac:dyDescent="0.25">
      <c r="A39" s="4"/>
      <c r="B39" s="4"/>
      <c r="C39" s="4"/>
      <c r="D39" s="4" t="s">
        <v>23</v>
      </c>
      <c r="E39" s="4"/>
      <c r="F39" s="4"/>
      <c r="G39" s="4">
        <v>270000000</v>
      </c>
      <c r="H39" s="4"/>
      <c r="I39" s="4"/>
      <c r="J39" s="4"/>
      <c r="K39" s="69"/>
      <c r="L39" s="4"/>
      <c r="M39" s="4"/>
      <c r="O39" s="1" t="s">
        <v>70</v>
      </c>
      <c r="R39" s="3">
        <v>170000000</v>
      </c>
      <c r="U39" s="4"/>
      <c r="V39"/>
    </row>
    <row r="40" spans="1:22" x14ac:dyDescent="0.25">
      <c r="A40" s="4"/>
      <c r="B40" s="4"/>
      <c r="C40" s="4"/>
      <c r="D40" s="4" t="s">
        <v>22</v>
      </c>
      <c r="E40" s="4"/>
      <c r="F40" s="4"/>
      <c r="G40" s="4">
        <v>25000000</v>
      </c>
      <c r="H40" s="4"/>
      <c r="I40" s="4"/>
      <c r="J40" s="4"/>
      <c r="K40" s="69"/>
      <c r="L40" s="4"/>
      <c r="M40" s="4"/>
      <c r="N40" s="4"/>
      <c r="O40" s="4" t="s">
        <v>20</v>
      </c>
      <c r="P40" s="4"/>
      <c r="Q40" s="4"/>
      <c r="R40" s="4">
        <v>60000000</v>
      </c>
      <c r="S40" s="4"/>
      <c r="T40" s="4"/>
      <c r="U40" s="4"/>
      <c r="V40"/>
    </row>
    <row r="41" spans="1:22" x14ac:dyDescent="0.25">
      <c r="A41" s="4"/>
      <c r="B41" s="4"/>
      <c r="C41" s="4"/>
      <c r="D41" s="4" t="s">
        <v>21</v>
      </c>
      <c r="E41" s="4"/>
      <c r="F41" s="4"/>
      <c r="G41" s="4">
        <v>120000000</v>
      </c>
      <c r="H41" s="4"/>
      <c r="I41" s="4"/>
      <c r="J41" s="4"/>
      <c r="K41" s="69"/>
      <c r="L41" s="4"/>
      <c r="M41" s="4"/>
      <c r="N41" s="4"/>
      <c r="O41" s="42" t="s">
        <v>50</v>
      </c>
      <c r="P41" s="42"/>
      <c r="Q41" s="42"/>
      <c r="R41" s="8">
        <f>SUM(R33:R40)</f>
        <v>2837500000</v>
      </c>
      <c r="S41" s="4"/>
      <c r="T41" s="4"/>
      <c r="U41" s="4"/>
      <c r="V41"/>
    </row>
    <row r="42" spans="1:22" x14ac:dyDescent="0.25">
      <c r="A42" s="4"/>
      <c r="B42" s="4"/>
      <c r="C42" s="4"/>
      <c r="D42" s="4" t="s">
        <v>38</v>
      </c>
      <c r="E42" s="4"/>
      <c r="F42" s="4"/>
      <c r="G42" s="4">
        <v>1200000000</v>
      </c>
      <c r="H42" s="4"/>
      <c r="I42" s="4"/>
      <c r="J42" s="4"/>
      <c r="K42" s="69"/>
      <c r="L42" s="4"/>
      <c r="M42" s="4"/>
      <c r="N42" s="4"/>
      <c r="O42" s="43" t="s">
        <v>28</v>
      </c>
      <c r="P42" s="44"/>
      <c r="Q42" s="44"/>
      <c r="R42" s="45"/>
      <c r="S42" s="4"/>
      <c r="T42" s="4"/>
      <c r="U42" s="4"/>
      <c r="V42"/>
    </row>
    <row r="43" spans="1:22" x14ac:dyDescent="0.25">
      <c r="A43" s="4"/>
      <c r="B43" s="4"/>
      <c r="C43" s="4"/>
      <c r="D43" s="4" t="s">
        <v>20</v>
      </c>
      <c r="E43" s="4"/>
      <c r="F43" s="4"/>
      <c r="G43" s="4">
        <v>120000000</v>
      </c>
      <c r="H43" s="4"/>
      <c r="I43" s="4"/>
      <c r="J43" s="4"/>
      <c r="K43" s="69"/>
      <c r="L43" s="4"/>
      <c r="M43" s="4"/>
      <c r="O43" s="6" t="s">
        <v>27</v>
      </c>
      <c r="P43" s="6"/>
      <c r="Q43" s="6"/>
      <c r="R43" s="6" t="s">
        <v>61</v>
      </c>
      <c r="U43" s="4"/>
      <c r="V43"/>
    </row>
    <row r="44" spans="1:22" x14ac:dyDescent="0.25">
      <c r="A44" s="4"/>
      <c r="B44" s="4"/>
      <c r="C44" s="4"/>
      <c r="D44" s="42" t="s">
        <v>50</v>
      </c>
      <c r="E44" s="42"/>
      <c r="F44" s="42"/>
      <c r="G44" s="8">
        <f>SUM(G37:G43)</f>
        <v>2747000000</v>
      </c>
      <c r="H44" s="4"/>
      <c r="I44" s="4"/>
      <c r="J44" s="4"/>
      <c r="K44" s="69"/>
      <c r="L44" s="4"/>
      <c r="M44" s="4"/>
      <c r="N44" s="4"/>
      <c r="O44" s="4" t="s">
        <v>6</v>
      </c>
      <c r="P44" s="4"/>
      <c r="Q44" s="4"/>
      <c r="R44" s="4">
        <v>100000000</v>
      </c>
      <c r="S44" s="4"/>
      <c r="T44" s="4"/>
      <c r="U44" s="4"/>
      <c r="V44"/>
    </row>
    <row r="45" spans="1:22" x14ac:dyDescent="0.25">
      <c r="A45" s="4"/>
      <c r="B45" s="4"/>
      <c r="C45" s="4"/>
      <c r="D45" s="43" t="s">
        <v>28</v>
      </c>
      <c r="E45" s="44"/>
      <c r="F45" s="44"/>
      <c r="G45" s="45"/>
      <c r="H45" s="4"/>
      <c r="I45" s="4"/>
      <c r="J45" s="4"/>
      <c r="K45" s="69"/>
      <c r="L45" s="4"/>
      <c r="M45" s="4"/>
      <c r="O45" s="2" t="s">
        <v>42</v>
      </c>
      <c r="P45" s="2"/>
      <c r="Q45" s="2"/>
      <c r="R45" s="10">
        <v>45000000</v>
      </c>
      <c r="S45" s="4"/>
      <c r="T45" s="4"/>
      <c r="U45" s="4"/>
      <c r="V45"/>
    </row>
    <row r="46" spans="1:22" x14ac:dyDescent="0.25">
      <c r="A46" s="4"/>
      <c r="B46" s="4"/>
      <c r="C46" s="4"/>
      <c r="D46" s="6" t="s">
        <v>27</v>
      </c>
      <c r="E46" s="6"/>
      <c r="F46" s="6"/>
      <c r="G46" s="6" t="s">
        <v>61</v>
      </c>
      <c r="H46" s="4"/>
      <c r="I46" s="4"/>
      <c r="J46" s="4"/>
      <c r="K46" s="69"/>
      <c r="L46" s="4"/>
      <c r="M46" s="4"/>
      <c r="N46" s="4"/>
      <c r="O46" s="42" t="s">
        <v>50</v>
      </c>
      <c r="P46" s="42"/>
      <c r="Q46" s="42"/>
      <c r="R46" s="8">
        <f>SUM(R44,R45)</f>
        <v>145000000</v>
      </c>
      <c r="S46" s="4"/>
      <c r="T46" s="4"/>
      <c r="U46" s="4"/>
      <c r="V46"/>
    </row>
    <row r="47" spans="1:22" x14ac:dyDescent="0.25">
      <c r="A47" s="4"/>
      <c r="B47" s="4"/>
      <c r="C47" s="4"/>
      <c r="D47" s="4" t="s">
        <v>26</v>
      </c>
      <c r="E47" s="4"/>
      <c r="F47" s="4"/>
      <c r="G47" s="4">
        <v>105750000</v>
      </c>
      <c r="H47" s="4"/>
      <c r="I47" s="4"/>
      <c r="J47" s="4"/>
      <c r="K47" s="69"/>
      <c r="L47" s="4"/>
      <c r="M47" s="4"/>
      <c r="N47" s="4"/>
      <c r="O47" s="43" t="s">
        <v>36</v>
      </c>
      <c r="P47" s="44"/>
      <c r="Q47" s="44"/>
      <c r="R47" s="45"/>
      <c r="S47" s="4"/>
      <c r="T47" s="4"/>
      <c r="U47" s="4"/>
      <c r="V47"/>
    </row>
    <row r="48" spans="1:22" x14ac:dyDescent="0.25">
      <c r="A48" s="4"/>
      <c r="B48" s="4"/>
      <c r="C48" s="4"/>
      <c r="D48" s="4" t="s">
        <v>6</v>
      </c>
      <c r="E48" s="4"/>
      <c r="F48" s="4"/>
      <c r="G48" s="4">
        <v>188960000</v>
      </c>
      <c r="H48" s="4"/>
      <c r="I48" s="4"/>
      <c r="J48" s="4"/>
      <c r="K48" s="69"/>
      <c r="L48" s="4"/>
      <c r="M48" s="4"/>
      <c r="N48" s="4"/>
      <c r="O48" s="6" t="s">
        <v>35</v>
      </c>
      <c r="P48" s="6" t="s">
        <v>34</v>
      </c>
      <c r="Q48" s="6" t="s">
        <v>53</v>
      </c>
      <c r="R48" s="6" t="s">
        <v>52</v>
      </c>
      <c r="S48" s="4"/>
      <c r="T48" s="4"/>
      <c r="U48" s="4"/>
      <c r="V48"/>
    </row>
    <row r="49" spans="1:22" x14ac:dyDescent="0.25">
      <c r="A49" s="4"/>
      <c r="B49" s="4"/>
      <c r="C49" s="4"/>
      <c r="D49" s="2" t="s">
        <v>42</v>
      </c>
      <c r="E49" s="2"/>
      <c r="F49" s="2"/>
      <c r="G49" s="10">
        <v>20000000</v>
      </c>
      <c r="H49" s="4"/>
      <c r="I49" s="4"/>
      <c r="J49" s="4"/>
      <c r="K49" s="69"/>
      <c r="L49" s="4"/>
      <c r="M49" s="4"/>
      <c r="N49" s="4"/>
      <c r="O49" s="4" t="s">
        <v>33</v>
      </c>
      <c r="P49" s="4">
        <v>1</v>
      </c>
      <c r="Q49" s="4">
        <v>25000000</v>
      </c>
      <c r="R49" s="4">
        <f>P49*Q49*12</f>
        <v>300000000</v>
      </c>
      <c r="S49" s="4"/>
      <c r="T49" s="4"/>
      <c r="U49" s="4"/>
      <c r="V49"/>
    </row>
    <row r="50" spans="1:22" x14ac:dyDescent="0.25">
      <c r="A50" s="4"/>
      <c r="B50" s="4"/>
      <c r="C50" s="4"/>
      <c r="D50" s="42" t="s">
        <v>50</v>
      </c>
      <c r="E50" s="42"/>
      <c r="F50" s="42"/>
      <c r="G50" s="8">
        <f>SUM(G47:G49)</f>
        <v>314710000</v>
      </c>
      <c r="H50" s="4"/>
      <c r="I50" s="4"/>
      <c r="J50" s="4"/>
      <c r="K50" s="69"/>
      <c r="L50" s="4"/>
      <c r="M50" s="4"/>
      <c r="N50" s="4"/>
      <c r="O50" s="4" t="s">
        <v>32</v>
      </c>
      <c r="P50" s="4">
        <v>1</v>
      </c>
      <c r="Q50" s="4">
        <v>10000000</v>
      </c>
      <c r="R50" s="4">
        <f t="shared" ref="R50:R52" si="1">P50*Q50*12</f>
        <v>120000000</v>
      </c>
      <c r="S50" s="4"/>
      <c r="T50" s="4"/>
      <c r="U50" s="4"/>
      <c r="V50"/>
    </row>
    <row r="51" spans="1:22" x14ac:dyDescent="0.25">
      <c r="A51" s="4"/>
      <c r="B51" s="4"/>
      <c r="C51" s="4"/>
      <c r="D51" s="43" t="s">
        <v>36</v>
      </c>
      <c r="E51" s="44"/>
      <c r="F51" s="44"/>
      <c r="G51" s="45"/>
      <c r="H51" s="4"/>
      <c r="I51" s="4"/>
      <c r="J51" s="4"/>
      <c r="K51" s="69"/>
      <c r="L51" s="4"/>
      <c r="M51" s="4"/>
      <c r="N51" s="4"/>
      <c r="O51" s="4" t="s">
        <v>31</v>
      </c>
      <c r="P51" s="4">
        <v>4</v>
      </c>
      <c r="Q51" s="4">
        <v>20000000</v>
      </c>
      <c r="R51" s="4">
        <f t="shared" si="1"/>
        <v>960000000</v>
      </c>
      <c r="S51" s="9"/>
      <c r="T51" s="4"/>
      <c r="U51" s="4"/>
      <c r="V51"/>
    </row>
    <row r="52" spans="1:22" x14ac:dyDescent="0.25">
      <c r="A52" s="4"/>
      <c r="B52" s="4"/>
      <c r="C52" s="4"/>
      <c r="D52" s="6" t="s">
        <v>35</v>
      </c>
      <c r="E52" s="6" t="s">
        <v>34</v>
      </c>
      <c r="F52" s="6" t="s">
        <v>53</v>
      </c>
      <c r="G52" s="6" t="s">
        <v>52</v>
      </c>
      <c r="H52" s="4"/>
      <c r="I52" s="4"/>
      <c r="J52" s="4"/>
      <c r="K52" s="69"/>
      <c r="L52" s="4"/>
      <c r="M52" s="4"/>
      <c r="N52" s="4"/>
      <c r="O52" s="4" t="s">
        <v>30</v>
      </c>
      <c r="P52" s="4">
        <v>6</v>
      </c>
      <c r="Q52" s="4">
        <v>6000000</v>
      </c>
      <c r="R52" s="4">
        <f t="shared" si="1"/>
        <v>432000000</v>
      </c>
      <c r="S52" s="4"/>
      <c r="T52" s="4"/>
      <c r="U52" s="4"/>
      <c r="V52"/>
    </row>
    <row r="53" spans="1:22" ht="15.75" thickBot="1" x14ac:dyDescent="0.3">
      <c r="A53" s="4"/>
      <c r="B53" s="4"/>
      <c r="C53" s="4"/>
      <c r="D53" s="4" t="s">
        <v>33</v>
      </c>
      <c r="E53" s="4">
        <v>1</v>
      </c>
      <c r="F53" s="4">
        <v>25000000</v>
      </c>
      <c r="G53" s="4">
        <f>E53*F53*12</f>
        <v>300000000</v>
      </c>
      <c r="H53" s="4"/>
      <c r="I53" s="4"/>
      <c r="J53" s="4"/>
      <c r="K53" s="69"/>
      <c r="L53" s="4"/>
      <c r="M53" s="4"/>
      <c r="N53" s="4"/>
      <c r="O53" s="12" t="s">
        <v>50</v>
      </c>
      <c r="P53" s="12"/>
      <c r="Q53" s="12"/>
      <c r="R53" s="8">
        <f>SUM(R49:R52)</f>
        <v>1812000000</v>
      </c>
      <c r="U53" s="4"/>
      <c r="V53"/>
    </row>
    <row r="54" spans="1:22" ht="16.5" thickTop="1" thickBot="1" x14ac:dyDescent="0.3">
      <c r="A54" s="4"/>
      <c r="B54" s="4"/>
      <c r="C54" s="4"/>
      <c r="D54" s="4" t="s">
        <v>32</v>
      </c>
      <c r="E54" s="4">
        <v>2</v>
      </c>
      <c r="F54" s="4">
        <v>10000000</v>
      </c>
      <c r="G54" s="4">
        <f t="shared" ref="G54:G57" si="2">E54*F54*12</f>
        <v>240000000</v>
      </c>
      <c r="H54" s="4"/>
      <c r="I54" s="4"/>
      <c r="J54" s="4"/>
      <c r="K54" s="69"/>
      <c r="L54" s="4"/>
      <c r="M54" s="4"/>
      <c r="N54" s="9"/>
      <c r="O54" s="9"/>
      <c r="P54" s="9"/>
      <c r="Q54" s="50" t="s">
        <v>63</v>
      </c>
      <c r="R54" s="51"/>
      <c r="S54" s="46">
        <f>SUM(R53,R46,R41)</f>
        <v>4794500000</v>
      </c>
      <c r="T54" s="53"/>
      <c r="U54" s="4"/>
      <c r="V54"/>
    </row>
    <row r="55" spans="1:22" ht="15.75" thickTop="1" x14ac:dyDescent="0.25">
      <c r="A55" s="4"/>
      <c r="B55" s="4"/>
      <c r="C55" s="9"/>
      <c r="D55" s="4" t="s">
        <v>31</v>
      </c>
      <c r="E55" s="4">
        <v>2</v>
      </c>
      <c r="F55" s="4">
        <v>20000000</v>
      </c>
      <c r="G55" s="4">
        <f t="shared" si="2"/>
        <v>480000000</v>
      </c>
      <c r="H55" s="9"/>
      <c r="I55" s="4"/>
      <c r="J55" s="4"/>
      <c r="K55" s="69"/>
      <c r="L55" s="4"/>
      <c r="M55" s="4"/>
      <c r="N55" s="4"/>
      <c r="O55" s="52" t="s">
        <v>44</v>
      </c>
      <c r="P55" s="52"/>
      <c r="Q55" s="52"/>
      <c r="R55" s="52"/>
      <c r="S55" s="4"/>
      <c r="T55" s="4"/>
      <c r="U55" s="4"/>
      <c r="V55"/>
    </row>
    <row r="56" spans="1:22" x14ac:dyDescent="0.25">
      <c r="A56" s="4"/>
      <c r="B56" s="4"/>
      <c r="C56" s="4"/>
      <c r="D56" s="4" t="s">
        <v>30</v>
      </c>
      <c r="E56" s="4">
        <v>3</v>
      </c>
      <c r="F56" s="4">
        <v>6000000</v>
      </c>
      <c r="G56" s="4">
        <f t="shared" si="2"/>
        <v>216000000</v>
      </c>
      <c r="H56" s="4"/>
      <c r="I56" s="4"/>
      <c r="J56" s="4"/>
      <c r="K56" s="69"/>
      <c r="L56" s="4"/>
      <c r="M56" s="4"/>
      <c r="N56" s="4"/>
      <c r="O56" s="43" t="s">
        <v>46</v>
      </c>
      <c r="P56" s="44"/>
      <c r="Q56" s="44"/>
      <c r="R56" s="45"/>
      <c r="S56" s="4"/>
      <c r="T56" s="4"/>
      <c r="U56" s="4"/>
      <c r="V56"/>
    </row>
    <row r="57" spans="1:22" x14ac:dyDescent="0.25">
      <c r="A57" s="4"/>
      <c r="B57" s="4"/>
      <c r="C57" s="4"/>
      <c r="D57" s="4" t="s">
        <v>29</v>
      </c>
      <c r="E57" s="4">
        <v>4</v>
      </c>
      <c r="F57" s="4">
        <v>5000000</v>
      </c>
      <c r="G57" s="4">
        <f t="shared" si="2"/>
        <v>240000000</v>
      </c>
      <c r="H57" s="4"/>
      <c r="I57" s="4"/>
      <c r="J57" s="4"/>
      <c r="K57" s="69"/>
      <c r="L57" s="4"/>
      <c r="M57" s="4"/>
      <c r="N57" s="9"/>
      <c r="O57" s="4" t="s">
        <v>47</v>
      </c>
      <c r="P57" s="4" t="s">
        <v>45</v>
      </c>
      <c r="Q57" s="4" t="s">
        <v>65</v>
      </c>
      <c r="R57" s="4" t="s">
        <v>62</v>
      </c>
      <c r="S57" s="4"/>
      <c r="T57" s="4"/>
      <c r="U57" s="4"/>
      <c r="V57"/>
    </row>
    <row r="58" spans="1:22" ht="15.75" thickBot="1" x14ac:dyDescent="0.3">
      <c r="A58" s="4"/>
      <c r="B58" s="4"/>
      <c r="C58" s="9"/>
      <c r="D58" s="42" t="s">
        <v>50</v>
      </c>
      <c r="E58" s="42"/>
      <c r="F58" s="42"/>
      <c r="G58" s="8">
        <f>SUM(G53:G57)</f>
        <v>1476000000</v>
      </c>
      <c r="J58" s="4"/>
      <c r="K58" s="69"/>
      <c r="L58" s="4"/>
      <c r="M58" s="4"/>
      <c r="O58" s="4">
        <v>250</v>
      </c>
      <c r="P58" s="4">
        <v>365</v>
      </c>
      <c r="Q58" s="4">
        <v>105000</v>
      </c>
      <c r="R58" s="4">
        <f>O58*P58*Q58</f>
        <v>9581250000</v>
      </c>
      <c r="U58" s="4"/>
      <c r="V58"/>
    </row>
    <row r="59" spans="1:22" ht="16.5" thickTop="1" thickBot="1" x14ac:dyDescent="0.3">
      <c r="A59" s="4"/>
      <c r="B59" s="4"/>
      <c r="D59" s="9"/>
      <c r="E59" s="9"/>
      <c r="F59" s="66" t="s">
        <v>63</v>
      </c>
      <c r="G59" s="67"/>
      <c r="H59" s="46">
        <f>SUM(G58,G50,G44)</f>
        <v>4537710000</v>
      </c>
      <c r="I59" s="53"/>
      <c r="J59" s="4"/>
      <c r="K59" s="69"/>
      <c r="L59" s="4"/>
      <c r="M59" s="4"/>
      <c r="N59" s="4"/>
      <c r="R59" s="11" t="s">
        <v>66</v>
      </c>
      <c r="S59" s="48">
        <f>SUM(R58)</f>
        <v>9581250000</v>
      </c>
      <c r="T59" s="49"/>
      <c r="U59" s="4"/>
      <c r="V59"/>
    </row>
    <row r="60" spans="1:22" ht="15.75" thickTop="1" x14ac:dyDescent="0.25">
      <c r="A60" s="4"/>
      <c r="B60" s="4"/>
      <c r="C60" s="4"/>
      <c r="D60" s="52" t="s">
        <v>44</v>
      </c>
      <c r="E60" s="52"/>
      <c r="F60" s="52"/>
      <c r="G60" s="52"/>
      <c r="H60" s="4"/>
      <c r="I60" s="4"/>
      <c r="J60" s="4"/>
      <c r="K60" s="69"/>
      <c r="L60" s="4"/>
      <c r="M60" s="4"/>
      <c r="U60" s="4"/>
      <c r="V60"/>
    </row>
    <row r="61" spans="1:22" x14ac:dyDescent="0.25">
      <c r="A61" s="4"/>
      <c r="B61" s="4"/>
      <c r="C61" s="4"/>
      <c r="D61" s="71" t="s">
        <v>46</v>
      </c>
      <c r="E61" s="71"/>
      <c r="F61" s="71"/>
      <c r="G61" s="71"/>
      <c r="H61" s="4"/>
      <c r="I61" s="4"/>
      <c r="J61" s="4"/>
      <c r="K61" s="69"/>
      <c r="L61" s="4"/>
      <c r="M61" s="4"/>
      <c r="N61" s="4"/>
      <c r="U61" s="4"/>
      <c r="V61"/>
    </row>
    <row r="62" spans="1:22" x14ac:dyDescent="0.25">
      <c r="A62" s="4"/>
      <c r="B62" s="4"/>
      <c r="C62" s="4"/>
      <c r="D62" s="4" t="s">
        <v>47</v>
      </c>
      <c r="E62" s="4" t="s">
        <v>45</v>
      </c>
      <c r="F62" s="4" t="s">
        <v>65</v>
      </c>
      <c r="G62" s="4" t="s">
        <v>62</v>
      </c>
      <c r="H62" s="4"/>
      <c r="I62" s="4"/>
      <c r="J62" s="4"/>
      <c r="K62" s="69"/>
      <c r="L62" s="4"/>
      <c r="M62" s="4"/>
      <c r="N62" s="4"/>
      <c r="U62" s="4"/>
      <c r="V62"/>
    </row>
    <row r="63" spans="1:22" ht="15.75" thickBot="1" x14ac:dyDescent="0.3">
      <c r="A63" s="4"/>
      <c r="B63" s="4"/>
      <c r="D63" s="4">
        <v>200</v>
      </c>
      <c r="E63" s="4">
        <v>330</v>
      </c>
      <c r="F63" s="4">
        <v>125000</v>
      </c>
      <c r="G63" s="4">
        <f>D63*E63*F63</f>
        <v>8250000000</v>
      </c>
      <c r="J63" s="9"/>
      <c r="K63" s="70"/>
      <c r="L63" s="4"/>
      <c r="M63" s="4"/>
      <c r="U63" s="9"/>
      <c r="V63"/>
    </row>
    <row r="64" spans="1:22" ht="16.5" thickTop="1" thickBot="1" x14ac:dyDescent="0.3">
      <c r="A64" s="4"/>
      <c r="B64" s="4"/>
      <c r="G64" s="11" t="s">
        <v>66</v>
      </c>
      <c r="H64" s="48">
        <f>SUM(G63)</f>
        <v>8250000000</v>
      </c>
      <c r="I64" s="49"/>
      <c r="J64" s="4"/>
      <c r="K64"/>
      <c r="L64" s="4"/>
      <c r="M64" s="4"/>
      <c r="U64" s="4"/>
      <c r="V64"/>
    </row>
    <row r="65" spans="1:21" ht="15.75" thickTop="1" x14ac:dyDescent="0.25">
      <c r="A65" s="4"/>
      <c r="B65" s="4"/>
      <c r="J65" s="4"/>
      <c r="L65" s="4"/>
      <c r="M65" s="4"/>
      <c r="U65" s="4"/>
    </row>
    <row r="66" spans="1:21" x14ac:dyDescent="0.25">
      <c r="A66" s="4"/>
      <c r="B66" s="4"/>
      <c r="J66" s="4"/>
    </row>
    <row r="67" spans="1:21" x14ac:dyDescent="0.25">
      <c r="A67" s="4"/>
      <c r="B67" s="4"/>
      <c r="J67" s="4"/>
    </row>
  </sheetData>
  <mergeCells count="53">
    <mergeCell ref="K1:K63"/>
    <mergeCell ref="A1:J1"/>
    <mergeCell ref="B2:I2"/>
    <mergeCell ref="D30:F30"/>
    <mergeCell ref="D28:G28"/>
    <mergeCell ref="C3:H3"/>
    <mergeCell ref="D32:G32"/>
    <mergeCell ref="D4:G4"/>
    <mergeCell ref="D13:G13"/>
    <mergeCell ref="D23:G23"/>
    <mergeCell ref="D61:G61"/>
    <mergeCell ref="D45:G45"/>
    <mergeCell ref="D27:F27"/>
    <mergeCell ref="D12:F12"/>
    <mergeCell ref="D51:G51"/>
    <mergeCell ref="D35:G35"/>
    <mergeCell ref="D31:F31"/>
    <mergeCell ref="D22:F22"/>
    <mergeCell ref="H33:I33"/>
    <mergeCell ref="F33:G33"/>
    <mergeCell ref="H64:I64"/>
    <mergeCell ref="D60:G60"/>
    <mergeCell ref="F59:G59"/>
    <mergeCell ref="C34:H34"/>
    <mergeCell ref="D58:F58"/>
    <mergeCell ref="H59:I59"/>
    <mergeCell ref="D44:F44"/>
    <mergeCell ref="D50:F50"/>
    <mergeCell ref="O27:Q27"/>
    <mergeCell ref="O28:Q28"/>
    <mergeCell ref="L1:U1"/>
    <mergeCell ref="M2:T2"/>
    <mergeCell ref="N3:S3"/>
    <mergeCell ref="O4:R4"/>
    <mergeCell ref="O10:Q10"/>
    <mergeCell ref="O11:R11"/>
    <mergeCell ref="O19:Q19"/>
    <mergeCell ref="O20:R20"/>
    <mergeCell ref="O25:R25"/>
    <mergeCell ref="O24:Q24"/>
    <mergeCell ref="O41:Q41"/>
    <mergeCell ref="O42:R42"/>
    <mergeCell ref="S29:T29"/>
    <mergeCell ref="S59:T59"/>
    <mergeCell ref="O47:R47"/>
    <mergeCell ref="Q54:R54"/>
    <mergeCell ref="O55:R55"/>
    <mergeCell ref="O56:R56"/>
    <mergeCell ref="S54:T54"/>
    <mergeCell ref="O46:Q46"/>
    <mergeCell ref="Q29:R29"/>
    <mergeCell ref="O31:R31"/>
    <mergeCell ref="N30:S30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3403-0CBD-4AFC-93AA-95A82C77D04A}">
  <dimension ref="A1:K45"/>
  <sheetViews>
    <sheetView workbookViewId="0">
      <selection activeCell="D2" sqref="D2:E2"/>
    </sheetView>
  </sheetViews>
  <sheetFormatPr defaultRowHeight="15" x14ac:dyDescent="0.25"/>
  <cols>
    <col min="1" max="1" width="7.140625" customWidth="1"/>
    <col min="2" max="2" width="22.85546875" customWidth="1"/>
    <col min="3" max="3" width="2.5703125" customWidth="1"/>
    <col min="4" max="4" width="6.140625" customWidth="1"/>
    <col min="5" max="5" width="20.140625" customWidth="1"/>
    <col min="7" max="7" width="10.140625" customWidth="1"/>
    <col min="8" max="8" width="10.85546875" customWidth="1"/>
    <col min="9" max="9" width="11.140625" customWidth="1"/>
    <col min="10" max="10" width="10.85546875" customWidth="1"/>
    <col min="11" max="12" width="23.28515625" customWidth="1"/>
  </cols>
  <sheetData>
    <row r="1" spans="1:11" ht="15.75" customHeight="1" x14ac:dyDescent="0.25">
      <c r="A1" s="123" t="s">
        <v>127</v>
      </c>
      <c r="B1" s="123"/>
      <c r="C1" s="123"/>
      <c r="D1" s="123"/>
      <c r="E1" s="123"/>
    </row>
    <row r="2" spans="1:11" ht="16.5" customHeight="1" x14ac:dyDescent="0.25">
      <c r="A2" s="131" t="s">
        <v>88</v>
      </c>
      <c r="B2" s="131"/>
      <c r="D2" s="129" t="s">
        <v>89</v>
      </c>
      <c r="E2" s="129"/>
      <c r="J2" s="23"/>
    </row>
    <row r="3" spans="1:11" ht="16.5" customHeight="1" thickBot="1" x14ac:dyDescent="0.3">
      <c r="A3" s="37" t="s">
        <v>120</v>
      </c>
      <c r="B3" s="37" t="s">
        <v>119</v>
      </c>
      <c r="C3" s="37"/>
      <c r="D3" s="37" t="s">
        <v>120</v>
      </c>
      <c r="E3" s="37" t="s">
        <v>119</v>
      </c>
      <c r="F3" s="23"/>
      <c r="G3" s="23"/>
      <c r="H3" s="23"/>
      <c r="I3" s="23"/>
      <c r="J3" s="23"/>
      <c r="K3" s="23"/>
    </row>
    <row r="4" spans="1:11" ht="16.5" customHeight="1" thickTop="1" thickBot="1" x14ac:dyDescent="0.3">
      <c r="A4">
        <v>0</v>
      </c>
      <c r="B4" s="30">
        <f>'RoR &amp; PP'!D4</f>
        <v>-5737000800</v>
      </c>
      <c r="C4" s="130"/>
      <c r="D4">
        <v>0</v>
      </c>
      <c r="E4" s="16">
        <f>'RoR &amp; PP'!I4</f>
        <v>-5762000800</v>
      </c>
      <c r="F4" s="23"/>
      <c r="G4" s="23"/>
      <c r="H4" s="23"/>
      <c r="I4" s="23"/>
      <c r="J4" s="23"/>
      <c r="K4" s="23"/>
    </row>
    <row r="5" spans="1:11" ht="16.5" thickTop="1" thickBot="1" x14ac:dyDescent="0.3">
      <c r="A5">
        <v>1</v>
      </c>
      <c r="B5" s="30">
        <f>'RoR &amp; PP'!D5</f>
        <v>-2362191709.0909095</v>
      </c>
      <c r="C5" s="130"/>
      <c r="D5">
        <v>1</v>
      </c>
      <c r="E5" s="16">
        <f>'RoR &amp; PP'!I5</f>
        <v>-1410409890.909091</v>
      </c>
      <c r="F5" s="23"/>
      <c r="G5" s="23"/>
      <c r="H5" s="23"/>
      <c r="I5" s="23"/>
      <c r="J5" s="23"/>
      <c r="K5" s="23"/>
    </row>
    <row r="6" spans="1:11" ht="16.5" thickTop="1" thickBot="1" x14ac:dyDescent="0.3">
      <c r="A6">
        <v>2</v>
      </c>
      <c r="B6" s="30">
        <f>'RoR &amp; PP'!D6</f>
        <v>1012617381.818181</v>
      </c>
      <c r="C6" s="130"/>
      <c r="D6">
        <v>2</v>
      </c>
      <c r="E6" s="16">
        <f>'RoR &amp; PP'!I6</f>
        <v>2941181018.1818171</v>
      </c>
      <c r="F6" s="23"/>
      <c r="G6" s="23"/>
      <c r="H6" s="23"/>
      <c r="I6" s="23"/>
      <c r="J6" s="23"/>
      <c r="K6" s="23"/>
    </row>
    <row r="7" spans="1:11" ht="16.5" thickTop="1" thickBot="1" x14ac:dyDescent="0.3">
      <c r="A7">
        <v>3</v>
      </c>
      <c r="B7" s="30">
        <f>'RoR &amp; PP'!D7</f>
        <v>4359535488.5048819</v>
      </c>
      <c r="C7" s="130"/>
      <c r="D7">
        <v>3</v>
      </c>
      <c r="E7" s="16">
        <f>'RoR &amp; PP'!I7</f>
        <v>7256808366.0405684</v>
      </c>
      <c r="F7" s="23"/>
      <c r="G7" s="23"/>
      <c r="H7" s="23"/>
      <c r="I7" s="23"/>
      <c r="J7" s="23"/>
      <c r="K7" s="23"/>
    </row>
    <row r="8" spans="1:11" ht="16.5" thickTop="1" thickBot="1" x14ac:dyDescent="0.3">
      <c r="A8">
        <v>4</v>
      </c>
      <c r="B8" s="30">
        <f>'RoR &amp; PP'!D8</f>
        <v>7655742714.7872391</v>
      </c>
      <c r="C8" s="130"/>
      <c r="D8">
        <v>4</v>
      </c>
      <c r="E8" s="16">
        <f>'RoR &amp; PP'!I8</f>
        <v>11507047420.749945</v>
      </c>
      <c r="F8" s="23"/>
      <c r="G8" s="23"/>
      <c r="H8" s="23"/>
      <c r="I8" s="23"/>
      <c r="J8" s="23"/>
      <c r="K8" s="23"/>
    </row>
    <row r="9" spans="1:11" ht="16.5" thickTop="1" thickBot="1" x14ac:dyDescent="0.3">
      <c r="A9">
        <v>5</v>
      </c>
      <c r="B9" s="30">
        <f>'RoR &amp; PP'!D9</f>
        <v>10882798740.518217</v>
      </c>
      <c r="C9" s="130"/>
      <c r="D9">
        <v>5</v>
      </c>
      <c r="E9" s="16">
        <f>'RoR &amp; PP'!I9</f>
        <v>15668120621.164719</v>
      </c>
      <c r="F9" s="23"/>
      <c r="G9" s="23"/>
      <c r="H9" s="23"/>
      <c r="I9" s="23"/>
      <c r="J9" s="23"/>
      <c r="K9" s="23"/>
    </row>
    <row r="10" spans="1:11" ht="16.5" thickTop="1" thickBot="1" x14ac:dyDescent="0.3">
      <c r="A10">
        <v>6</v>
      </c>
      <c r="B10" s="30">
        <f>'RoR &amp; PP'!D10</f>
        <v>14026035129.217222</v>
      </c>
      <c r="C10" s="130"/>
      <c r="D10">
        <v>6</v>
      </c>
      <c r="E10" s="16">
        <f>'RoR &amp; PP'!I10</f>
        <v>19721113998.192097</v>
      </c>
      <c r="F10" s="23"/>
      <c r="G10" s="23"/>
      <c r="H10" s="23"/>
      <c r="I10" s="23"/>
      <c r="J10" s="23"/>
      <c r="K10" s="23"/>
    </row>
    <row r="11" spans="1:11" ht="16.5" thickTop="1" thickBot="1" x14ac:dyDescent="0.3">
      <c r="A11">
        <v>7</v>
      </c>
      <c r="B11" s="30">
        <f>'RoR &amp; PP'!D11</f>
        <v>17074021930.379892</v>
      </c>
      <c r="C11" s="130"/>
      <c r="D11">
        <v>7</v>
      </c>
      <c r="E11" s="16">
        <f>'RoR &amp; PP'!I11</f>
        <v>23651289394.097431</v>
      </c>
      <c r="F11" s="23"/>
      <c r="G11" s="23"/>
      <c r="H11" s="23"/>
      <c r="I11" s="23"/>
      <c r="J11" s="23"/>
      <c r="K11" s="23"/>
    </row>
    <row r="12" spans="1:11" ht="16.5" thickTop="1" thickBot="1" x14ac:dyDescent="0.3">
      <c r="A12">
        <v>8</v>
      </c>
      <c r="B12" s="30">
        <f>'RoR &amp; PP'!D12</f>
        <v>20018100090.593834</v>
      </c>
      <c r="C12" s="130"/>
      <c r="D12">
        <v>8</v>
      </c>
      <c r="E12" s="16">
        <f>'RoR &amp; PP'!I12</f>
        <v>27447481537.869629</v>
      </c>
      <c r="F12" s="23"/>
      <c r="G12" s="23"/>
      <c r="H12" s="23"/>
      <c r="I12" s="23"/>
      <c r="J12" s="23"/>
      <c r="K12" s="23"/>
    </row>
    <row r="13" spans="1:11" ht="15.75" thickTop="1" x14ac:dyDescent="0.25"/>
    <row r="16" spans="1:11" ht="15" customHeight="1" x14ac:dyDescent="0.25">
      <c r="D16" s="23"/>
      <c r="E16" s="23"/>
      <c r="F16" s="23"/>
      <c r="G16" s="23"/>
      <c r="H16" s="23"/>
      <c r="I16" s="23"/>
      <c r="J16" s="23"/>
    </row>
    <row r="17" spans="4:11" ht="15" customHeight="1" x14ac:dyDescent="0.25">
      <c r="D17" s="23"/>
      <c r="E17" s="23"/>
      <c r="F17" s="23"/>
      <c r="G17" s="23"/>
      <c r="H17" s="23"/>
      <c r="I17" s="23"/>
      <c r="J17" s="23"/>
      <c r="K17" s="23"/>
    </row>
    <row r="18" spans="4:11" ht="15" customHeight="1" x14ac:dyDescent="0.25">
      <c r="D18" s="23"/>
      <c r="E18" s="23"/>
      <c r="F18" s="23"/>
      <c r="G18" s="23"/>
      <c r="H18" s="23"/>
      <c r="I18" s="23"/>
      <c r="J18" s="23"/>
      <c r="K18" s="23"/>
    </row>
    <row r="19" spans="4:11" ht="15" customHeight="1" x14ac:dyDescent="0.25">
      <c r="D19" s="23"/>
      <c r="E19" s="23"/>
      <c r="F19" s="23"/>
      <c r="G19" s="23"/>
      <c r="H19" s="23"/>
      <c r="I19" s="23"/>
      <c r="J19" s="23"/>
      <c r="K19" s="23"/>
    </row>
    <row r="20" spans="4:11" ht="15" customHeight="1" x14ac:dyDescent="0.25">
      <c r="D20" s="23"/>
      <c r="E20" s="23"/>
      <c r="F20" s="23"/>
      <c r="G20" s="23"/>
      <c r="H20" s="23"/>
      <c r="I20" s="23"/>
      <c r="J20" s="23"/>
      <c r="K20" s="23"/>
    </row>
    <row r="21" spans="4:11" ht="15" customHeight="1" x14ac:dyDescent="0.25">
      <c r="D21" s="23"/>
      <c r="E21" s="23"/>
      <c r="F21" s="23"/>
      <c r="G21" s="23"/>
      <c r="H21" s="23"/>
      <c r="I21" s="23"/>
      <c r="J21" s="23"/>
      <c r="K21" s="23"/>
    </row>
    <row r="22" spans="4:11" ht="15" customHeight="1" x14ac:dyDescent="0.25">
      <c r="D22" s="23"/>
      <c r="E22" s="23"/>
      <c r="F22" s="23"/>
      <c r="G22" s="23"/>
      <c r="H22" s="23"/>
      <c r="I22" s="23"/>
      <c r="J22" s="23"/>
      <c r="K22" s="23"/>
    </row>
    <row r="23" spans="4:11" ht="15" customHeight="1" x14ac:dyDescent="0.25">
      <c r="D23" s="23"/>
      <c r="E23" s="23"/>
      <c r="F23" s="23"/>
      <c r="G23" s="23"/>
      <c r="H23" s="23"/>
      <c r="I23" s="23"/>
      <c r="J23" s="23"/>
      <c r="K23" s="23"/>
    </row>
    <row r="24" spans="4:11" ht="15" customHeight="1" x14ac:dyDescent="0.25">
      <c r="D24" s="23"/>
      <c r="E24" s="23"/>
      <c r="F24" s="23"/>
      <c r="G24" s="23"/>
      <c r="H24" s="23"/>
      <c r="I24" s="23"/>
      <c r="J24" s="23"/>
      <c r="K24" s="23"/>
    </row>
    <row r="25" spans="4:11" ht="15" customHeight="1" x14ac:dyDescent="0.25">
      <c r="D25" s="23"/>
      <c r="E25" s="23"/>
      <c r="F25" s="23"/>
      <c r="G25" s="23"/>
      <c r="H25" s="23"/>
      <c r="I25" s="23"/>
      <c r="J25" s="23"/>
      <c r="K25" s="23"/>
    </row>
    <row r="26" spans="4:11" ht="15" customHeight="1" x14ac:dyDescent="0.25">
      <c r="D26" s="23"/>
      <c r="E26" s="23"/>
      <c r="F26" s="23"/>
      <c r="G26" s="23"/>
      <c r="H26" s="23"/>
      <c r="I26" s="23"/>
      <c r="J26" s="23"/>
      <c r="K26" s="23"/>
    </row>
    <row r="27" spans="4:11" ht="15" customHeight="1" x14ac:dyDescent="0.25">
      <c r="D27" s="23"/>
      <c r="E27" s="23"/>
      <c r="F27" s="23"/>
      <c r="G27" s="23"/>
      <c r="H27" s="23"/>
      <c r="I27" s="23"/>
      <c r="J27" s="23"/>
      <c r="K27" s="23"/>
    </row>
    <row r="28" spans="4:11" ht="15" customHeight="1" x14ac:dyDescent="0.25">
      <c r="D28" s="23"/>
      <c r="E28" s="23"/>
      <c r="F28" s="23"/>
      <c r="G28" s="23"/>
      <c r="H28" s="23"/>
      <c r="I28" s="23"/>
      <c r="J28" s="23"/>
      <c r="K28" s="23"/>
    </row>
    <row r="29" spans="4:11" ht="15" customHeight="1" x14ac:dyDescent="0.25"/>
    <row r="30" spans="4:11" ht="15" customHeight="1" x14ac:dyDescent="0.25"/>
    <row r="31" spans="4:11" ht="15" customHeight="1" x14ac:dyDescent="0.25"/>
    <row r="32" spans="4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</sheetData>
  <mergeCells count="4">
    <mergeCell ref="D2:E2"/>
    <mergeCell ref="A1:E1"/>
    <mergeCell ref="C4:C12"/>
    <mergeCell ref="A2:B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EB48-5753-4E67-9862-54999EACBCDA}">
  <dimension ref="A1:M16"/>
  <sheetViews>
    <sheetView zoomScaleNormal="100" workbookViewId="0">
      <selection sqref="A1:L1"/>
    </sheetView>
  </sheetViews>
  <sheetFormatPr defaultRowHeight="15" x14ac:dyDescent="0.25"/>
  <cols>
    <col min="1" max="1" width="11.85546875" customWidth="1"/>
    <col min="2" max="2" width="14.42578125" customWidth="1"/>
    <col min="3" max="4" width="14.85546875" customWidth="1"/>
    <col min="10" max="10" width="16.42578125" customWidth="1"/>
    <col min="11" max="11" width="14.140625" customWidth="1"/>
    <col min="12" max="12" width="17.42578125" customWidth="1"/>
  </cols>
  <sheetData>
    <row r="1" spans="1:13" x14ac:dyDescent="0.25">
      <c r="A1" s="123" t="s">
        <v>135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3" x14ac:dyDescent="0.25">
      <c r="A2" s="134" t="s">
        <v>88</v>
      </c>
      <c r="B2" s="39" t="s">
        <v>128</v>
      </c>
      <c r="C2" s="39" t="s">
        <v>129</v>
      </c>
      <c r="D2" s="39" t="s">
        <v>130</v>
      </c>
    </row>
    <row r="3" spans="1:13" x14ac:dyDescent="0.25">
      <c r="A3" s="134"/>
      <c r="B3" s="16">
        <v>8605501200</v>
      </c>
      <c r="C3" s="16">
        <v>5737000800</v>
      </c>
      <c r="D3" s="16">
        <v>2868500400</v>
      </c>
      <c r="E3" s="73" t="s">
        <v>0</v>
      </c>
      <c r="F3" s="73"/>
      <c r="I3" s="18" t="s">
        <v>131</v>
      </c>
      <c r="J3" s="41">
        <v>67245845216.848541</v>
      </c>
      <c r="K3" s="132" t="s">
        <v>132</v>
      </c>
      <c r="L3" s="100">
        <f>AVERAGE(J3:J5)</f>
        <v>20018100090.593861</v>
      </c>
    </row>
    <row r="4" spans="1:13" x14ac:dyDescent="0.25">
      <c r="A4" s="134"/>
      <c r="B4" s="16">
        <v>6806565000</v>
      </c>
      <c r="C4" s="16">
        <v>4537710000</v>
      </c>
      <c r="D4" s="9">
        <v>2268855000</v>
      </c>
      <c r="E4" s="73" t="s">
        <v>72</v>
      </c>
      <c r="F4" s="73"/>
      <c r="I4" s="18" t="s">
        <v>133</v>
      </c>
      <c r="J4" s="41">
        <v>20018100090.593857</v>
      </c>
      <c r="K4" s="132"/>
      <c r="L4" s="100"/>
    </row>
    <row r="5" spans="1:13" x14ac:dyDescent="0.25">
      <c r="A5" s="134"/>
      <c r="B5" s="16">
        <v>4125000000</v>
      </c>
      <c r="C5" s="16">
        <v>8250000000</v>
      </c>
      <c r="D5" s="9">
        <v>12375000000</v>
      </c>
      <c r="E5" s="133" t="s">
        <v>71</v>
      </c>
      <c r="F5" s="133"/>
      <c r="I5" s="18" t="s">
        <v>134</v>
      </c>
      <c r="J5" s="41">
        <v>-27209645035.660816</v>
      </c>
      <c r="K5" s="132"/>
      <c r="L5" s="100"/>
    </row>
    <row r="6" spans="1:13" ht="15" customHeight="1" x14ac:dyDescent="0.25">
      <c r="J6" s="16"/>
      <c r="K6" s="16"/>
      <c r="L6" s="16"/>
    </row>
    <row r="7" spans="1:13" ht="15" customHeight="1" x14ac:dyDescent="0.25">
      <c r="J7" s="16"/>
      <c r="K7" s="16"/>
      <c r="L7" s="16"/>
    </row>
    <row r="8" spans="1:13" x14ac:dyDescent="0.25">
      <c r="A8" s="135" t="s">
        <v>89</v>
      </c>
      <c r="B8" s="39" t="s">
        <v>128</v>
      </c>
      <c r="C8" s="39" t="s">
        <v>129</v>
      </c>
      <c r="D8" s="39" t="s">
        <v>130</v>
      </c>
      <c r="J8" s="16"/>
      <c r="K8" s="16"/>
      <c r="L8" s="16"/>
    </row>
    <row r="9" spans="1:13" x14ac:dyDescent="0.25">
      <c r="A9" s="135"/>
      <c r="B9" s="9">
        <v>8643001200</v>
      </c>
      <c r="C9" s="16">
        <v>5762000800</v>
      </c>
      <c r="D9" s="9">
        <v>2881000400</v>
      </c>
      <c r="E9" s="73" t="s">
        <v>0</v>
      </c>
      <c r="F9" s="73"/>
      <c r="I9" s="18" t="s">
        <v>131</v>
      </c>
      <c r="J9" s="40">
        <v>80196473343.16864</v>
      </c>
      <c r="K9" s="132" t="s">
        <v>132</v>
      </c>
      <c r="L9" s="100">
        <f>AVERAGE(J9:J11)</f>
        <v>27447481537.869663</v>
      </c>
    </row>
    <row r="10" spans="1:13" x14ac:dyDescent="0.25">
      <c r="A10" s="135"/>
      <c r="B10" s="9">
        <v>7191750000</v>
      </c>
      <c r="C10" s="16">
        <v>4794500000</v>
      </c>
      <c r="D10" s="9">
        <v>2397250000</v>
      </c>
      <c r="E10" s="73" t="s">
        <v>72</v>
      </c>
      <c r="F10" s="73"/>
      <c r="I10" s="18" t="s">
        <v>133</v>
      </c>
      <c r="J10" s="40">
        <v>27447481537.869659</v>
      </c>
      <c r="K10" s="132"/>
      <c r="L10" s="100"/>
    </row>
    <row r="11" spans="1:13" x14ac:dyDescent="0.25">
      <c r="A11" s="135"/>
      <c r="B11" s="9">
        <v>4790625000</v>
      </c>
      <c r="C11" s="9">
        <v>9581250000</v>
      </c>
      <c r="D11" s="9">
        <v>14371875000</v>
      </c>
      <c r="E11" s="133" t="s">
        <v>71</v>
      </c>
      <c r="F11" s="133"/>
      <c r="I11" s="18" t="s">
        <v>134</v>
      </c>
      <c r="J11" s="40">
        <v>-25301510267.42931</v>
      </c>
      <c r="K11" s="132"/>
      <c r="L11" s="100"/>
      <c r="M11" s="23"/>
    </row>
    <row r="14" spans="1:13" x14ac:dyDescent="0.25">
      <c r="B14" s="23"/>
      <c r="C14" s="23"/>
    </row>
    <row r="15" spans="1:13" x14ac:dyDescent="0.25">
      <c r="B15" s="23"/>
      <c r="C15" s="23"/>
    </row>
    <row r="16" spans="1:13" ht="15" customHeight="1" x14ac:dyDescent="0.25">
      <c r="B16" s="23"/>
      <c r="C16" s="23"/>
    </row>
  </sheetData>
  <mergeCells count="13">
    <mergeCell ref="A1:L1"/>
    <mergeCell ref="K3:K5"/>
    <mergeCell ref="L3:L5"/>
    <mergeCell ref="K9:K11"/>
    <mergeCell ref="L9:L11"/>
    <mergeCell ref="E11:F11"/>
    <mergeCell ref="E3:F3"/>
    <mergeCell ref="E4:F4"/>
    <mergeCell ref="E5:F5"/>
    <mergeCell ref="A2:A5"/>
    <mergeCell ref="A8:A11"/>
    <mergeCell ref="E9:F9"/>
    <mergeCell ref="E10:F10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4293-E039-4CF5-8C3F-7A18F9F61579}">
  <dimension ref="A1:E7"/>
  <sheetViews>
    <sheetView tabSelected="1" workbookViewId="0">
      <selection activeCell="Q19" sqref="Q19"/>
    </sheetView>
  </sheetViews>
  <sheetFormatPr defaultRowHeight="15" x14ac:dyDescent="0.25"/>
  <cols>
    <col min="1" max="1" width="17.140625" customWidth="1"/>
    <col min="2" max="2" width="18.7109375" customWidth="1"/>
    <col min="3" max="3" width="3.42578125" customWidth="1"/>
    <col min="4" max="4" width="18.140625" customWidth="1"/>
    <col min="5" max="5" width="17.85546875" customWidth="1"/>
    <col min="6" max="6" width="15.28515625" customWidth="1"/>
  </cols>
  <sheetData>
    <row r="1" spans="1:5" x14ac:dyDescent="0.25">
      <c r="A1" s="123" t="s">
        <v>136</v>
      </c>
      <c r="B1" s="123"/>
      <c r="C1" s="123"/>
      <c r="D1" s="123"/>
      <c r="E1" s="123"/>
    </row>
    <row r="2" spans="1:5" x14ac:dyDescent="0.25">
      <c r="A2" s="131" t="s">
        <v>88</v>
      </c>
      <c r="B2" s="131"/>
      <c r="D2" s="129" t="s">
        <v>89</v>
      </c>
      <c r="E2" s="129"/>
    </row>
    <row r="3" spans="1:5" ht="15.75" thickBot="1" x14ac:dyDescent="0.3">
      <c r="A3" t="s">
        <v>72</v>
      </c>
      <c r="B3" t="s">
        <v>71</v>
      </c>
      <c r="D3" t="s">
        <v>72</v>
      </c>
      <c r="E3" t="s">
        <v>71</v>
      </c>
    </row>
    <row r="4" spans="1:5" ht="16.5" thickTop="1" thickBot="1" x14ac:dyDescent="0.3">
      <c r="A4" s="16">
        <v>2268855000</v>
      </c>
      <c r="B4" s="9">
        <v>3000000000</v>
      </c>
      <c r="C4" s="130"/>
      <c r="D4" s="16">
        <v>2397250000</v>
      </c>
      <c r="E4" s="9">
        <v>3200000000</v>
      </c>
    </row>
    <row r="5" spans="1:5" ht="16.5" thickTop="1" thickBot="1" x14ac:dyDescent="0.3">
      <c r="A5" s="16">
        <v>4537710000</v>
      </c>
      <c r="B5" s="9">
        <v>5360000000</v>
      </c>
      <c r="C5" s="130"/>
      <c r="D5" s="16">
        <v>4794500000</v>
      </c>
      <c r="E5" s="9">
        <v>5624193750</v>
      </c>
    </row>
    <row r="6" spans="1:5" ht="16.5" thickTop="1" thickBot="1" x14ac:dyDescent="0.3">
      <c r="A6" s="16">
        <v>6806565000</v>
      </c>
      <c r="B6" s="9">
        <v>7630000000</v>
      </c>
      <c r="C6" s="130"/>
      <c r="D6" s="16">
        <v>7191750000</v>
      </c>
      <c r="E6" s="9">
        <v>8022380625</v>
      </c>
    </row>
    <row r="7" spans="1:5" ht="15.75" thickTop="1" x14ac:dyDescent="0.25"/>
  </sheetData>
  <mergeCells count="4">
    <mergeCell ref="A2:B2"/>
    <mergeCell ref="D2:E2"/>
    <mergeCell ref="A1:E1"/>
    <mergeCell ref="C4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opLeftCell="G1" zoomScale="145" zoomScaleNormal="145" workbookViewId="0">
      <selection activeCell="K4" sqref="K4:L4"/>
    </sheetView>
  </sheetViews>
  <sheetFormatPr defaultRowHeight="15" x14ac:dyDescent="0.25"/>
  <cols>
    <col min="8" max="8" width="24.5703125" customWidth="1"/>
    <col min="10" max="10" width="22.5703125" customWidth="1"/>
  </cols>
  <sheetData>
    <row r="1" spans="1:12" ht="31.5" x14ac:dyDescent="0.5">
      <c r="A1" s="76" t="s">
        <v>48</v>
      </c>
      <c r="B1" s="76"/>
      <c r="C1" s="76"/>
      <c r="D1" s="76"/>
      <c r="E1" s="76"/>
      <c r="F1" s="76"/>
    </row>
    <row r="2" spans="1:12" ht="15" customHeight="1" thickBot="1" x14ac:dyDescent="0.3">
      <c r="H2" s="75" t="s">
        <v>73</v>
      </c>
      <c r="I2" s="73" t="s">
        <v>0</v>
      </c>
      <c r="J2" s="73"/>
      <c r="K2" s="72">
        <f>Details!H33</f>
        <v>5737000800</v>
      </c>
      <c r="L2" s="73"/>
    </row>
    <row r="3" spans="1:12" ht="15" customHeight="1" thickTop="1" thickBot="1" x14ac:dyDescent="0.3">
      <c r="H3" s="75"/>
      <c r="I3" s="74"/>
      <c r="J3" s="74"/>
      <c r="K3" s="74"/>
      <c r="L3" s="74"/>
    </row>
    <row r="4" spans="1:12" ht="15" customHeight="1" thickTop="1" x14ac:dyDescent="0.25">
      <c r="H4" s="75"/>
      <c r="I4" s="73" t="s">
        <v>72</v>
      </c>
      <c r="J4" s="73"/>
      <c r="K4" s="72">
        <f>Details!H59</f>
        <v>4537710000</v>
      </c>
      <c r="L4" s="73"/>
    </row>
    <row r="5" spans="1:12" s="13" customFormat="1" x14ac:dyDescent="0.25">
      <c r="I5" s="14"/>
      <c r="J5" s="14"/>
    </row>
    <row r="6" spans="1:12" x14ac:dyDescent="0.25">
      <c r="H6" s="77" t="s">
        <v>71</v>
      </c>
      <c r="I6" s="80">
        <f>Details!H64</f>
        <v>8250000000</v>
      </c>
      <c r="J6" s="77"/>
    </row>
    <row r="7" spans="1:12" x14ac:dyDescent="0.25">
      <c r="H7" s="77"/>
      <c r="I7" s="77"/>
      <c r="J7" s="77"/>
    </row>
    <row r="8" spans="1:12" s="13" customFormat="1" x14ac:dyDescent="0.25">
      <c r="I8" s="14"/>
      <c r="J8" s="14"/>
    </row>
    <row r="9" spans="1:12" s="13" customFormat="1" ht="15" customHeight="1" x14ac:dyDescent="0.25">
      <c r="H9" s="78" t="s">
        <v>74</v>
      </c>
      <c r="I9" s="81">
        <v>1600000000</v>
      </c>
      <c r="J9" s="81"/>
    </row>
    <row r="10" spans="1:12" s="13" customFormat="1" ht="15" customHeight="1" x14ac:dyDescent="0.25">
      <c r="H10" s="78"/>
      <c r="I10" s="81"/>
      <c r="J10" s="81"/>
    </row>
    <row r="11" spans="1:12" s="13" customFormat="1" x14ac:dyDescent="0.25">
      <c r="I11" s="14"/>
      <c r="J11" s="14"/>
    </row>
    <row r="12" spans="1:12" s="13" customFormat="1" ht="15" customHeight="1" x14ac:dyDescent="0.25">
      <c r="H12" s="79" t="s">
        <v>75</v>
      </c>
      <c r="I12" s="79">
        <v>8</v>
      </c>
      <c r="J12" s="79"/>
    </row>
    <row r="13" spans="1:12" s="13" customFormat="1" ht="15" customHeight="1" x14ac:dyDescent="0.25">
      <c r="H13" s="79"/>
      <c r="I13" s="79"/>
      <c r="J13" s="79"/>
    </row>
    <row r="16" spans="1:12" x14ac:dyDescent="0.25">
      <c r="H16" t="s">
        <v>86</v>
      </c>
      <c r="I16" s="15">
        <v>0.1</v>
      </c>
    </row>
  </sheetData>
  <mergeCells count="13">
    <mergeCell ref="A1:F1"/>
    <mergeCell ref="H6:H7"/>
    <mergeCell ref="H9:H10"/>
    <mergeCell ref="H12:H13"/>
    <mergeCell ref="I6:J7"/>
    <mergeCell ref="I9:J10"/>
    <mergeCell ref="I12:J13"/>
    <mergeCell ref="K2:L2"/>
    <mergeCell ref="K4:L4"/>
    <mergeCell ref="I3:L3"/>
    <mergeCell ref="H2:H4"/>
    <mergeCell ref="I2:J2"/>
    <mergeCell ref="I4:J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zoomScale="145" zoomScaleNormal="145" workbookViewId="0">
      <selection activeCell="K4" sqref="K4:L4"/>
    </sheetView>
  </sheetViews>
  <sheetFormatPr defaultRowHeight="15" x14ac:dyDescent="0.25"/>
  <cols>
    <col min="8" max="8" width="24.42578125" customWidth="1"/>
    <col min="10" max="10" width="19.7109375" customWidth="1"/>
  </cols>
  <sheetData>
    <row r="1" spans="1:12" ht="31.5" x14ac:dyDescent="0.5">
      <c r="A1" s="76" t="s">
        <v>67</v>
      </c>
      <c r="B1" s="76"/>
      <c r="C1" s="76"/>
      <c r="D1" s="76"/>
      <c r="E1" s="76"/>
      <c r="F1" s="76"/>
    </row>
    <row r="2" spans="1:12" ht="15.75" thickBot="1" x14ac:dyDescent="0.3">
      <c r="A2" s="82"/>
      <c r="B2" s="82"/>
      <c r="C2" s="82"/>
      <c r="D2" s="82"/>
      <c r="E2" s="82"/>
      <c r="F2" s="82"/>
      <c r="H2" s="75" t="s">
        <v>73</v>
      </c>
      <c r="I2" s="73" t="s">
        <v>0</v>
      </c>
      <c r="J2" s="73"/>
      <c r="K2" s="72">
        <f>Details!S29</f>
        <v>5762000800</v>
      </c>
      <c r="L2" s="73"/>
    </row>
    <row r="3" spans="1:12" ht="15" customHeight="1" thickTop="1" thickBot="1" x14ac:dyDescent="0.3">
      <c r="A3" s="83"/>
      <c r="B3" s="83"/>
      <c r="C3" s="83"/>
      <c r="D3" s="83"/>
      <c r="E3" s="83"/>
      <c r="F3" s="83"/>
      <c r="H3" s="75"/>
      <c r="I3" s="74"/>
      <c r="J3" s="74"/>
      <c r="K3" s="74"/>
      <c r="L3" s="74"/>
    </row>
    <row r="4" spans="1:12" ht="15" customHeight="1" thickTop="1" x14ac:dyDescent="0.25">
      <c r="A4" s="83"/>
      <c r="B4" s="83"/>
      <c r="C4" s="83"/>
      <c r="D4" s="83"/>
      <c r="E4" s="83"/>
      <c r="F4" s="83"/>
      <c r="H4" s="75"/>
      <c r="I4" s="73" t="s">
        <v>72</v>
      </c>
      <c r="J4" s="73"/>
      <c r="K4" s="72">
        <f>Details!S54</f>
        <v>4794500000</v>
      </c>
      <c r="L4" s="73"/>
    </row>
    <row r="5" spans="1:12" s="13" customFormat="1" ht="15.75" customHeight="1" x14ac:dyDescent="0.25">
      <c r="A5" s="83"/>
      <c r="B5" s="83"/>
      <c r="C5" s="83"/>
      <c r="D5" s="83"/>
      <c r="E5" s="83"/>
      <c r="F5" s="83"/>
      <c r="I5" s="14"/>
      <c r="J5" s="14"/>
    </row>
    <row r="6" spans="1:12" x14ac:dyDescent="0.25">
      <c r="A6" s="83"/>
      <c r="B6" s="83"/>
      <c r="C6" s="83"/>
      <c r="D6" s="83"/>
      <c r="E6" s="83"/>
      <c r="F6" s="83"/>
      <c r="H6" s="77" t="s">
        <v>71</v>
      </c>
      <c r="I6" s="80">
        <f>Details!S59</f>
        <v>9581250000</v>
      </c>
      <c r="J6" s="77"/>
    </row>
    <row r="7" spans="1:12" x14ac:dyDescent="0.25">
      <c r="A7" s="83"/>
      <c r="B7" s="83"/>
      <c r="C7" s="83"/>
      <c r="D7" s="83"/>
      <c r="E7" s="83"/>
      <c r="F7" s="83"/>
      <c r="H7" s="77"/>
      <c r="I7" s="77"/>
      <c r="J7" s="77"/>
    </row>
    <row r="8" spans="1:12" s="13" customFormat="1" x14ac:dyDescent="0.25">
      <c r="A8" s="83"/>
      <c r="B8" s="83"/>
      <c r="C8" s="83"/>
      <c r="D8" s="83"/>
      <c r="E8" s="83"/>
      <c r="F8" s="83"/>
      <c r="I8" s="14"/>
      <c r="J8" s="14"/>
    </row>
    <row r="9" spans="1:12" s="13" customFormat="1" x14ac:dyDescent="0.25">
      <c r="A9" s="83"/>
      <c r="B9" s="83"/>
      <c r="C9" s="83"/>
      <c r="D9" s="83"/>
      <c r="E9" s="83"/>
      <c r="F9" s="83"/>
      <c r="H9" s="78" t="s">
        <v>74</v>
      </c>
      <c r="I9" s="81">
        <v>2000000000</v>
      </c>
      <c r="J9" s="81"/>
    </row>
    <row r="10" spans="1:12" s="13" customFormat="1" x14ac:dyDescent="0.25">
      <c r="A10" s="83"/>
      <c r="B10" s="83"/>
      <c r="C10" s="83"/>
      <c r="D10" s="83"/>
      <c r="E10" s="83"/>
      <c r="F10" s="83"/>
      <c r="H10" s="78"/>
      <c r="I10" s="81"/>
      <c r="J10" s="81"/>
    </row>
    <row r="11" spans="1:12" s="13" customFormat="1" x14ac:dyDescent="0.25">
      <c r="A11" s="83"/>
      <c r="B11" s="83"/>
      <c r="C11" s="83"/>
      <c r="D11" s="83"/>
      <c r="E11" s="83"/>
      <c r="F11" s="83"/>
      <c r="I11" s="14"/>
      <c r="J11" s="14"/>
    </row>
    <row r="12" spans="1:12" s="13" customFormat="1" x14ac:dyDescent="0.25">
      <c r="A12" s="83"/>
      <c r="B12" s="83"/>
      <c r="C12" s="83"/>
      <c r="D12" s="83"/>
      <c r="E12" s="83"/>
      <c r="F12" s="83"/>
      <c r="H12" s="79" t="s">
        <v>75</v>
      </c>
      <c r="I12" s="79">
        <v>8</v>
      </c>
      <c r="J12" s="79"/>
    </row>
    <row r="13" spans="1:12" s="13" customFormat="1" x14ac:dyDescent="0.25">
      <c r="A13" s="83"/>
      <c r="B13" s="83"/>
      <c r="C13" s="83"/>
      <c r="D13" s="83"/>
      <c r="E13" s="83"/>
      <c r="F13" s="83"/>
      <c r="H13" s="79"/>
      <c r="I13" s="79"/>
      <c r="J13" s="79"/>
    </row>
    <row r="14" spans="1:12" x14ac:dyDescent="0.25">
      <c r="A14" s="83"/>
      <c r="B14" s="83"/>
      <c r="C14" s="83"/>
      <c r="D14" s="83"/>
      <c r="E14" s="83"/>
      <c r="F14" s="83"/>
    </row>
    <row r="16" spans="1:12" x14ac:dyDescent="0.25">
      <c r="H16" t="s">
        <v>86</v>
      </c>
      <c r="I16" s="15">
        <v>0.1</v>
      </c>
    </row>
  </sheetData>
  <mergeCells count="14">
    <mergeCell ref="A1:F1"/>
    <mergeCell ref="H6:H7"/>
    <mergeCell ref="I6:J7"/>
    <mergeCell ref="H9:H10"/>
    <mergeCell ref="I9:J10"/>
    <mergeCell ref="A2:F14"/>
    <mergeCell ref="K2:L2"/>
    <mergeCell ref="I3:L3"/>
    <mergeCell ref="I4:J4"/>
    <mergeCell ref="K4:L4"/>
    <mergeCell ref="H12:H13"/>
    <mergeCell ref="I12:J13"/>
    <mergeCell ref="H2:H4"/>
    <mergeCell ref="I2:J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zoomScale="85" zoomScaleNormal="85" workbookViewId="0">
      <selection activeCell="M28" sqref="M28:N39"/>
    </sheetView>
  </sheetViews>
  <sheetFormatPr defaultRowHeight="15" x14ac:dyDescent="0.25"/>
  <cols>
    <col min="2" max="2" width="11.42578125" customWidth="1"/>
    <col min="6" max="6" width="20" customWidth="1"/>
    <col min="7" max="7" width="3" customWidth="1"/>
    <col min="8" max="8" width="13" customWidth="1"/>
    <col min="9" max="9" width="22" customWidth="1"/>
    <col min="10" max="10" width="2" customWidth="1"/>
  </cols>
  <sheetData>
    <row r="1" spans="1:22" ht="16.5" thickTop="1" thickBot="1" x14ac:dyDescent="0.3">
      <c r="A1" s="98" t="s">
        <v>88</v>
      </c>
      <c r="B1" s="98"/>
      <c r="F1" s="20" t="s">
        <v>90</v>
      </c>
      <c r="J1" s="74"/>
    </row>
    <row r="2" spans="1:22" ht="15" customHeight="1" thickTop="1" thickBot="1" x14ac:dyDescent="0.3">
      <c r="A2" s="98"/>
      <c r="B2" s="98"/>
      <c r="D2" s="94" t="s">
        <v>76</v>
      </c>
      <c r="E2" s="17" t="s">
        <v>77</v>
      </c>
      <c r="F2" s="19">
        <f>-FastFood!$K$2</f>
        <v>-5737000800</v>
      </c>
      <c r="G2" s="74"/>
      <c r="H2" s="102" t="s">
        <v>91</v>
      </c>
      <c r="I2" s="100">
        <f>F2+F3-PV(FastFood!I16,1,,F4,0)-PV(FastFood!I16,2,,F5,0)-PV(FastFood!I16,3,,F6,0)-PV(FastFood!I16,4,,F7,0)-PV(FastFood!I16,5,,F8,0)-PV(FastFood!I16,6,,F9,0)-PV(FastFood!I16,7,,F10,0)</f>
        <v>-37218695080.957756</v>
      </c>
      <c r="J2" s="74"/>
    </row>
    <row r="3" spans="1:22" ht="15" customHeight="1" thickTop="1" thickBot="1" x14ac:dyDescent="0.3">
      <c r="A3" s="98"/>
      <c r="B3" s="98"/>
      <c r="D3" s="94"/>
      <c r="E3" s="17" t="s">
        <v>78</v>
      </c>
      <c r="F3" s="19">
        <f>PV(FastFood!I16,1,FastFood!K4,,0)</f>
        <v>-4125190909.0909123</v>
      </c>
      <c r="G3" s="74"/>
      <c r="H3" s="102"/>
      <c r="I3" s="101"/>
      <c r="J3" s="74"/>
    </row>
    <row r="4" spans="1:22" ht="15" customHeight="1" thickTop="1" thickBot="1" x14ac:dyDescent="0.3">
      <c r="A4" s="98"/>
      <c r="B4" s="98"/>
      <c r="D4" s="94"/>
      <c r="E4" s="17" t="s">
        <v>79</v>
      </c>
      <c r="F4" s="19">
        <f>PV(FastFood!I16,1,((FastFood!K4)*1.1),,0)</f>
        <v>-4537710000.0000038</v>
      </c>
      <c r="G4" s="74"/>
      <c r="H4" s="102"/>
      <c r="I4" s="101"/>
      <c r="J4" s="74"/>
    </row>
    <row r="5" spans="1:22" ht="15" customHeight="1" thickTop="1" thickBot="1" x14ac:dyDescent="0.3">
      <c r="A5" s="98"/>
      <c r="B5" s="98"/>
      <c r="D5" s="94"/>
      <c r="E5" s="17" t="s">
        <v>80</v>
      </c>
      <c r="F5" s="19">
        <f>PV(FastFood!I16,1,((FastFood!K4)*1.2),,0)</f>
        <v>-4950229090.9090948</v>
      </c>
      <c r="G5" s="74"/>
      <c r="H5" s="102"/>
      <c r="I5" s="101"/>
      <c r="J5" s="74"/>
    </row>
    <row r="6" spans="1:22" ht="15" customHeight="1" thickTop="1" thickBot="1" x14ac:dyDescent="0.3">
      <c r="A6" s="98"/>
      <c r="B6" s="98"/>
      <c r="D6" s="94"/>
      <c r="E6" s="17" t="s">
        <v>81</v>
      </c>
      <c r="F6" s="19">
        <f>PV(FastFood!I16,1,((FastFood!K4)*1.3),,0)</f>
        <v>-5362748181.8181858</v>
      </c>
      <c r="G6" s="74"/>
      <c r="H6" s="102"/>
      <c r="I6" s="101"/>
      <c r="J6" s="74"/>
      <c r="K6" s="86" t="s">
        <v>93</v>
      </c>
      <c r="L6" s="87"/>
      <c r="M6" s="88">
        <f>I2+I14</f>
        <v>20018100090.593857</v>
      </c>
      <c r="N6" s="89"/>
    </row>
    <row r="7" spans="1:22" ht="15" customHeight="1" thickTop="1" thickBot="1" x14ac:dyDescent="0.3">
      <c r="A7" s="98"/>
      <c r="B7" s="98"/>
      <c r="D7" s="94"/>
      <c r="E7" s="17" t="s">
        <v>82</v>
      </c>
      <c r="F7" s="19">
        <f>PV(FastFood!I16,1,((FastFood!K4)*1.4),,0)</f>
        <v>-5775267272.7272778</v>
      </c>
      <c r="G7" s="74"/>
      <c r="H7" s="102"/>
      <c r="I7" s="101"/>
      <c r="J7" s="74"/>
      <c r="K7" s="86"/>
      <c r="L7" s="87"/>
      <c r="M7" s="90"/>
      <c r="N7" s="91"/>
    </row>
    <row r="8" spans="1:22" ht="15" customHeight="1" thickTop="1" thickBot="1" x14ac:dyDescent="0.3">
      <c r="A8" s="98"/>
      <c r="B8" s="98"/>
      <c r="D8" s="94"/>
      <c r="E8" s="17" t="s">
        <v>83</v>
      </c>
      <c r="F8" s="19">
        <f>PV(FastFood!I16,1,((FastFood!K4)*1.5),,0)</f>
        <v>-6187786363.6363688</v>
      </c>
      <c r="G8" s="74"/>
      <c r="H8" s="102"/>
      <c r="I8" s="101"/>
      <c r="J8" s="74"/>
      <c r="K8" s="86"/>
      <c r="L8" s="87"/>
      <c r="M8" s="90"/>
      <c r="N8" s="91"/>
      <c r="O8" s="84" t="s">
        <v>94</v>
      </c>
      <c r="P8" s="85"/>
      <c r="Q8" s="85"/>
      <c r="R8" s="85"/>
      <c r="S8" s="85"/>
      <c r="T8" s="85"/>
      <c r="U8" s="85"/>
      <c r="V8" s="85"/>
    </row>
    <row r="9" spans="1:22" ht="15" customHeight="1" thickTop="1" thickBot="1" x14ac:dyDescent="0.3">
      <c r="A9" s="98"/>
      <c r="B9" s="98"/>
      <c r="D9" s="94"/>
      <c r="E9" s="17" t="s">
        <v>84</v>
      </c>
      <c r="F9" s="19">
        <f>PV(FastFood!I16,1,((FastFood!K4)*1.6),,0)</f>
        <v>-6600305454.5454597</v>
      </c>
      <c r="G9" s="74"/>
      <c r="H9" s="102"/>
      <c r="I9" s="101"/>
      <c r="J9" s="74"/>
      <c r="K9" s="86"/>
      <c r="L9" s="87"/>
      <c r="M9" s="90"/>
      <c r="N9" s="91"/>
      <c r="O9" s="85"/>
      <c r="P9" s="85"/>
      <c r="Q9" s="85"/>
      <c r="R9" s="85"/>
      <c r="S9" s="85"/>
      <c r="T9" s="85"/>
      <c r="U9" s="85"/>
      <c r="V9" s="85"/>
    </row>
    <row r="10" spans="1:22" ht="15" customHeight="1" thickTop="1" thickBot="1" x14ac:dyDescent="0.3">
      <c r="A10" s="98"/>
      <c r="B10" s="98"/>
      <c r="D10" s="94"/>
      <c r="E10" s="17" t="s">
        <v>85</v>
      </c>
      <c r="F10" s="19">
        <f>PV(FastFood!I16,1,((FastFood!K4)*1.7),,0)</f>
        <v>-7012824545.4545507</v>
      </c>
      <c r="G10" s="74"/>
      <c r="H10" s="102"/>
      <c r="I10" s="101"/>
      <c r="J10" s="74"/>
      <c r="K10" s="86"/>
      <c r="L10" s="87"/>
      <c r="M10" s="90"/>
      <c r="N10" s="91"/>
      <c r="O10" s="85"/>
      <c r="P10" s="85"/>
      <c r="Q10" s="85"/>
      <c r="R10" s="85"/>
      <c r="S10" s="85"/>
      <c r="T10" s="85"/>
      <c r="U10" s="85"/>
      <c r="V10" s="85"/>
    </row>
    <row r="11" spans="1:22" ht="15" customHeight="1" thickTop="1" thickBot="1" x14ac:dyDescent="0.3">
      <c r="A11" s="98"/>
      <c r="B11" s="98"/>
      <c r="J11" s="74"/>
      <c r="K11" s="86"/>
      <c r="L11" s="87"/>
      <c r="M11" s="90"/>
      <c r="N11" s="91"/>
      <c r="O11" s="85"/>
      <c r="P11" s="85"/>
      <c r="Q11" s="85"/>
      <c r="R11" s="85"/>
      <c r="S11" s="85"/>
      <c r="T11" s="85"/>
      <c r="U11" s="85"/>
      <c r="V11" s="85"/>
    </row>
    <row r="12" spans="1:22" ht="15" customHeight="1" thickTop="1" thickBot="1" x14ac:dyDescent="0.3">
      <c r="A12" s="98"/>
      <c r="B12" s="98"/>
      <c r="J12" s="74"/>
      <c r="K12" s="86"/>
      <c r="L12" s="87"/>
      <c r="M12" s="90"/>
      <c r="N12" s="91"/>
      <c r="O12" s="85"/>
      <c r="P12" s="85"/>
      <c r="Q12" s="85"/>
      <c r="R12" s="85"/>
      <c r="S12" s="85"/>
      <c r="T12" s="85"/>
      <c r="U12" s="85"/>
      <c r="V12" s="85"/>
    </row>
    <row r="13" spans="1:22" ht="15" customHeight="1" thickTop="1" thickBot="1" x14ac:dyDescent="0.3">
      <c r="A13" s="98"/>
      <c r="B13" s="98"/>
      <c r="F13" s="20" t="s">
        <v>90</v>
      </c>
      <c r="J13" s="74"/>
      <c r="K13" s="86"/>
      <c r="L13" s="87"/>
      <c r="M13" s="90"/>
      <c r="N13" s="91"/>
      <c r="O13" s="85"/>
      <c r="P13" s="85"/>
      <c r="Q13" s="85"/>
      <c r="R13" s="85"/>
      <c r="S13" s="85"/>
      <c r="T13" s="85"/>
      <c r="U13" s="85"/>
      <c r="V13" s="85"/>
    </row>
    <row r="14" spans="1:22" ht="15" customHeight="1" thickTop="1" thickBot="1" x14ac:dyDescent="0.3">
      <c r="A14" s="98"/>
      <c r="B14" s="98"/>
      <c r="D14" s="95" t="s">
        <v>87</v>
      </c>
      <c r="E14" s="18" t="s">
        <v>78</v>
      </c>
      <c r="F14" s="22">
        <f>-PV(FastFood!I16,1,FastFood!I6,,0)</f>
        <v>7500000000.0000067</v>
      </c>
      <c r="G14" s="74"/>
      <c r="H14" s="96" t="s">
        <v>92</v>
      </c>
      <c r="I14" s="100">
        <f>F14-PV(FastFood!I16,1,,F15,0)-PV(FastFood!I16,2,,F16,0)-PV(FastFood!I16,3,,F17,0)-PV(FastFood!I16,4,,F18,0)-PV(FastFood!I16,5,,F19,0)-PV(FastFood!I16,6,,F20,0)-PV(FastFood!I16,7,,F21,0)</f>
        <v>57236795171.551613</v>
      </c>
      <c r="J14" s="74"/>
      <c r="K14" s="86"/>
      <c r="L14" s="87"/>
      <c r="M14" s="90"/>
      <c r="N14" s="91"/>
      <c r="O14" s="85"/>
      <c r="P14" s="85"/>
      <c r="Q14" s="85"/>
      <c r="R14" s="85"/>
      <c r="S14" s="85"/>
      <c r="T14" s="85"/>
      <c r="U14" s="85"/>
      <c r="V14" s="85"/>
    </row>
    <row r="15" spans="1:22" ht="15" customHeight="1" thickTop="1" thickBot="1" x14ac:dyDescent="0.3">
      <c r="A15" s="98"/>
      <c r="B15" s="98"/>
      <c r="D15" s="95"/>
      <c r="E15" s="18" t="s">
        <v>79</v>
      </c>
      <c r="F15" s="22">
        <f>-PV(FastFood!I16,1,((FastFood!I6)*1.1),,0)</f>
        <v>8250000000.0000067</v>
      </c>
      <c r="G15" s="74"/>
      <c r="H15" s="96"/>
      <c r="I15" s="100"/>
      <c r="J15" s="74"/>
      <c r="K15" s="86"/>
      <c r="L15" s="87"/>
      <c r="M15" s="90"/>
      <c r="N15" s="91"/>
      <c r="O15" s="85"/>
      <c r="P15" s="85"/>
      <c r="Q15" s="85"/>
      <c r="R15" s="85"/>
      <c r="S15" s="85"/>
      <c r="T15" s="85"/>
      <c r="U15" s="85"/>
      <c r="V15" s="85"/>
    </row>
    <row r="16" spans="1:22" ht="15" customHeight="1" thickTop="1" thickBot="1" x14ac:dyDescent="0.3">
      <c r="A16" s="98"/>
      <c r="B16" s="98"/>
      <c r="D16" s="95"/>
      <c r="E16" s="18" t="s">
        <v>80</v>
      </c>
      <c r="F16" s="22">
        <f>-PV(FastFood!I16,1,((FastFood!I6)*1.2),,0)</f>
        <v>9000000000.0000076</v>
      </c>
      <c r="G16" s="74"/>
      <c r="H16" s="96"/>
      <c r="I16" s="100"/>
      <c r="J16" s="74"/>
      <c r="K16" s="86"/>
      <c r="L16" s="87"/>
      <c r="M16" s="90"/>
      <c r="N16" s="91"/>
      <c r="O16" s="85"/>
      <c r="P16" s="85"/>
      <c r="Q16" s="85"/>
      <c r="R16" s="85"/>
      <c r="S16" s="85"/>
      <c r="T16" s="85"/>
      <c r="U16" s="85"/>
      <c r="V16" s="85"/>
    </row>
    <row r="17" spans="1:22" ht="15" customHeight="1" thickTop="1" thickBot="1" x14ac:dyDescent="0.3">
      <c r="A17" s="98"/>
      <c r="B17" s="98"/>
      <c r="D17" s="95"/>
      <c r="E17" s="18" t="s">
        <v>81</v>
      </c>
      <c r="F17" s="22">
        <f>-PV(FastFood!I16,1,((FastFood!I6)*1.3),,0)</f>
        <v>9750000000.0000076</v>
      </c>
      <c r="G17" s="74"/>
      <c r="H17" s="96"/>
      <c r="I17" s="100"/>
      <c r="J17" s="74"/>
      <c r="K17" s="86"/>
      <c r="L17" s="87"/>
      <c r="M17" s="92"/>
      <c r="N17" s="93"/>
      <c r="O17" s="85"/>
      <c r="P17" s="85"/>
      <c r="Q17" s="85"/>
      <c r="R17" s="85"/>
      <c r="S17" s="85"/>
      <c r="T17" s="85"/>
      <c r="U17" s="85"/>
      <c r="V17" s="85"/>
    </row>
    <row r="18" spans="1:22" ht="15" customHeight="1" thickTop="1" thickBot="1" x14ac:dyDescent="0.3">
      <c r="A18" s="98"/>
      <c r="B18" s="98"/>
      <c r="D18" s="95"/>
      <c r="E18" s="18" t="s">
        <v>82</v>
      </c>
      <c r="F18" s="22">
        <f>-PV(FastFood!I16,1,((FastFood!I6)*1.4),,0)</f>
        <v>10500000000.000008</v>
      </c>
      <c r="G18" s="74"/>
      <c r="H18" s="96"/>
      <c r="I18" s="100"/>
      <c r="J18" s="74"/>
      <c r="O18" s="85"/>
      <c r="P18" s="85"/>
      <c r="Q18" s="85"/>
      <c r="R18" s="85"/>
      <c r="S18" s="85"/>
      <c r="T18" s="85"/>
      <c r="U18" s="85"/>
      <c r="V18" s="85"/>
    </row>
    <row r="19" spans="1:22" ht="15" customHeight="1" thickTop="1" thickBot="1" x14ac:dyDescent="0.3">
      <c r="A19" s="98"/>
      <c r="B19" s="98"/>
      <c r="D19" s="95"/>
      <c r="E19" s="18" t="s">
        <v>83</v>
      </c>
      <c r="F19" s="22">
        <f>-PV(FastFood!I16,1,((FastFood!I6)*1.5),,0)</f>
        <v>11250000000.00001</v>
      </c>
      <c r="G19" s="74"/>
      <c r="H19" s="96"/>
      <c r="I19" s="100"/>
      <c r="J19" s="74"/>
      <c r="O19" s="85"/>
      <c r="P19" s="85"/>
      <c r="Q19" s="85"/>
      <c r="R19" s="85"/>
      <c r="S19" s="85"/>
      <c r="T19" s="85"/>
      <c r="U19" s="85"/>
      <c r="V19" s="85"/>
    </row>
    <row r="20" spans="1:22" ht="15" customHeight="1" thickTop="1" thickBot="1" x14ac:dyDescent="0.3">
      <c r="A20" s="98"/>
      <c r="B20" s="98"/>
      <c r="D20" s="95"/>
      <c r="E20" s="18" t="s">
        <v>84</v>
      </c>
      <c r="F20" s="22">
        <f>-PV(FastFood!I16,1,((FastFood!I6)*1.6),,0)</f>
        <v>12000000000.00001</v>
      </c>
      <c r="G20" s="74"/>
      <c r="H20" s="96"/>
      <c r="I20" s="100"/>
      <c r="J20" s="74"/>
      <c r="O20" s="85"/>
      <c r="P20" s="85"/>
      <c r="Q20" s="85"/>
      <c r="R20" s="85"/>
      <c r="S20" s="85"/>
      <c r="T20" s="85"/>
      <c r="U20" s="85"/>
      <c r="V20" s="85"/>
    </row>
    <row r="21" spans="1:22" ht="15" customHeight="1" thickTop="1" thickBot="1" x14ac:dyDescent="0.3">
      <c r="A21" s="98"/>
      <c r="B21" s="98"/>
      <c r="D21" s="95"/>
      <c r="E21" s="18" t="s">
        <v>85</v>
      </c>
      <c r="F21" s="22">
        <f>-PV(FastFood!I16,1,((FastFood!I6)*1.7),,0)</f>
        <v>12750000000.000011</v>
      </c>
      <c r="G21" s="74"/>
      <c r="H21" s="96"/>
      <c r="I21" s="100"/>
      <c r="J21" s="74"/>
      <c r="O21" s="85"/>
      <c r="P21" s="85"/>
      <c r="Q21" s="85"/>
      <c r="R21" s="85"/>
      <c r="S21" s="85"/>
      <c r="T21" s="85"/>
      <c r="U21" s="85"/>
      <c r="V21" s="85"/>
    </row>
    <row r="22" spans="1:22" ht="16.5" thickTop="1" thickBot="1" x14ac:dyDescent="0.3">
      <c r="H22" s="21"/>
      <c r="J22" s="74"/>
      <c r="O22" s="85"/>
      <c r="P22" s="85"/>
      <c r="Q22" s="85"/>
      <c r="R22" s="85"/>
      <c r="S22" s="85"/>
      <c r="T22" s="85"/>
      <c r="U22" s="85"/>
      <c r="V22" s="85"/>
    </row>
    <row r="23" spans="1:22" ht="16.5" thickTop="1" thickBot="1" x14ac:dyDescent="0.3">
      <c r="A23" s="99" t="s">
        <v>89</v>
      </c>
      <c r="B23" s="99"/>
      <c r="F23" s="20" t="s">
        <v>90</v>
      </c>
      <c r="J23" s="74"/>
      <c r="O23" s="85"/>
      <c r="P23" s="85"/>
      <c r="Q23" s="85"/>
      <c r="R23" s="85"/>
      <c r="S23" s="85"/>
      <c r="T23" s="85"/>
      <c r="U23" s="85"/>
      <c r="V23" s="85"/>
    </row>
    <row r="24" spans="1:22" ht="15" customHeight="1" thickTop="1" thickBot="1" x14ac:dyDescent="0.3">
      <c r="A24" s="99"/>
      <c r="B24" s="99"/>
      <c r="D24" s="97" t="s">
        <v>76</v>
      </c>
      <c r="E24" s="18" t="s">
        <v>77</v>
      </c>
      <c r="F24" s="19">
        <f>-TakeAway!K2</f>
        <v>-5762000800</v>
      </c>
      <c r="G24" s="74"/>
      <c r="H24" s="102" t="s">
        <v>91</v>
      </c>
      <c r="I24" s="100">
        <f>F24+F25-PV(TakeAway!I16,1,,F26,0)-PV(TakeAway!I16,2,,F27,0)-PV(TakeAway!I16,3,,F28,0)-PV(TakeAway!I16,4,,F29,0)-PV(TakeAway!I16,5,,F30,0)-PV(TakeAway!I16,6,,F31,0)-PV(TakeAway!I16,7,,F32,0)</f>
        <v>-39025251036.364143</v>
      </c>
      <c r="J24" s="74"/>
      <c r="O24" s="85"/>
      <c r="P24" s="85"/>
      <c r="Q24" s="85"/>
      <c r="R24" s="85"/>
      <c r="S24" s="85"/>
      <c r="T24" s="85"/>
      <c r="U24" s="85"/>
      <c r="V24" s="85"/>
    </row>
    <row r="25" spans="1:22" ht="15" customHeight="1" thickTop="1" thickBot="1" x14ac:dyDescent="0.3">
      <c r="A25" s="99"/>
      <c r="B25" s="99"/>
      <c r="D25" s="97"/>
      <c r="E25" s="18" t="s">
        <v>78</v>
      </c>
      <c r="F25" s="19">
        <f>PV(TakeAway!I16,1,TakeAway!K4,,0)</f>
        <v>-4358636363.6363668</v>
      </c>
      <c r="G25" s="74"/>
      <c r="H25" s="102"/>
      <c r="I25" s="101"/>
      <c r="J25" s="74"/>
      <c r="O25" s="85"/>
      <c r="P25" s="85"/>
      <c r="Q25" s="85"/>
      <c r="R25" s="85"/>
      <c r="S25" s="85"/>
      <c r="T25" s="85"/>
      <c r="U25" s="85"/>
      <c r="V25" s="85"/>
    </row>
    <row r="26" spans="1:22" ht="15" customHeight="1" thickTop="1" thickBot="1" x14ac:dyDescent="0.3">
      <c r="A26" s="99"/>
      <c r="B26" s="99"/>
      <c r="D26" s="97"/>
      <c r="E26" s="18" t="s">
        <v>79</v>
      </c>
      <c r="F26" s="19">
        <f>PV(TakeAway!I16,1,((TakeAway!K4)*1.1),,0)</f>
        <v>-4794500000.0000038</v>
      </c>
      <c r="G26" s="74"/>
      <c r="H26" s="102"/>
      <c r="I26" s="101"/>
      <c r="J26" s="74"/>
      <c r="O26" s="85"/>
      <c r="P26" s="85"/>
      <c r="Q26" s="85"/>
      <c r="R26" s="85"/>
      <c r="S26" s="85"/>
      <c r="T26" s="85"/>
      <c r="U26" s="85"/>
      <c r="V26" s="85"/>
    </row>
    <row r="27" spans="1:22" ht="15" customHeight="1" thickTop="1" thickBot="1" x14ac:dyDescent="0.3">
      <c r="A27" s="99"/>
      <c r="B27" s="99"/>
      <c r="D27" s="97"/>
      <c r="E27" s="18" t="s">
        <v>80</v>
      </c>
      <c r="F27" s="19">
        <f>PV(TakeAway!I16,1,((TakeAway!K4)*1.2),,0)</f>
        <v>-5230363636.3636398</v>
      </c>
      <c r="G27" s="74"/>
      <c r="H27" s="102"/>
      <c r="I27" s="101"/>
      <c r="J27" s="74"/>
      <c r="O27" s="85"/>
      <c r="P27" s="85"/>
      <c r="Q27" s="85"/>
      <c r="R27" s="85"/>
      <c r="S27" s="85"/>
      <c r="T27" s="85"/>
      <c r="U27" s="85"/>
      <c r="V27" s="85"/>
    </row>
    <row r="28" spans="1:22" ht="15" customHeight="1" thickTop="1" thickBot="1" x14ac:dyDescent="0.3">
      <c r="A28" s="99"/>
      <c r="B28" s="99"/>
      <c r="D28" s="97"/>
      <c r="E28" s="18" t="s">
        <v>81</v>
      </c>
      <c r="F28" s="19">
        <f>PV(TakeAway!I16,1,((TakeAway!K4)*1.3),,0)</f>
        <v>-5666227272.7272778</v>
      </c>
      <c r="G28" s="74"/>
      <c r="H28" s="102"/>
      <c r="I28" s="101"/>
      <c r="J28" s="74"/>
      <c r="K28" s="86" t="s">
        <v>93</v>
      </c>
      <c r="L28" s="87"/>
      <c r="M28" s="88">
        <f>I24+I36</f>
        <v>27447481537.869659</v>
      </c>
      <c r="N28" s="89"/>
      <c r="O28" s="85"/>
      <c r="P28" s="85"/>
      <c r="Q28" s="85"/>
      <c r="R28" s="85"/>
      <c r="S28" s="85"/>
      <c r="T28" s="85"/>
      <c r="U28" s="85"/>
      <c r="V28" s="85"/>
    </row>
    <row r="29" spans="1:22" ht="15" customHeight="1" thickTop="1" thickBot="1" x14ac:dyDescent="0.3">
      <c r="A29" s="99"/>
      <c r="B29" s="99"/>
      <c r="D29" s="97"/>
      <c r="E29" s="18" t="s">
        <v>82</v>
      </c>
      <c r="F29" s="19">
        <f>PV(TakeAway!I16,1,((TakeAway!K4)*1.4),,0)</f>
        <v>-6102090909.0909138</v>
      </c>
      <c r="G29" s="74"/>
      <c r="H29" s="102"/>
      <c r="I29" s="101"/>
      <c r="J29" s="74"/>
      <c r="K29" s="86"/>
      <c r="L29" s="87"/>
      <c r="M29" s="90"/>
      <c r="N29" s="91"/>
      <c r="O29" s="85"/>
      <c r="P29" s="85"/>
      <c r="Q29" s="85"/>
      <c r="R29" s="85"/>
      <c r="S29" s="85"/>
      <c r="T29" s="85"/>
      <c r="U29" s="85"/>
      <c r="V29" s="85"/>
    </row>
    <row r="30" spans="1:22" ht="15" customHeight="1" thickTop="1" thickBot="1" x14ac:dyDescent="0.3">
      <c r="A30" s="99"/>
      <c r="B30" s="99"/>
      <c r="D30" s="97"/>
      <c r="E30" s="18" t="s">
        <v>83</v>
      </c>
      <c r="F30" s="19">
        <f>PV(TakeAway!I16,1,((TakeAway!K4)*1.5),,0)</f>
        <v>-6537954545.4545507</v>
      </c>
      <c r="G30" s="74"/>
      <c r="H30" s="102"/>
      <c r="I30" s="101"/>
      <c r="J30" s="74"/>
      <c r="K30" s="86"/>
      <c r="L30" s="87"/>
      <c r="M30" s="90"/>
      <c r="N30" s="91"/>
      <c r="O30" s="85"/>
      <c r="P30" s="85"/>
      <c r="Q30" s="85"/>
      <c r="R30" s="85"/>
      <c r="S30" s="85"/>
      <c r="T30" s="85"/>
      <c r="U30" s="85"/>
      <c r="V30" s="85"/>
    </row>
    <row r="31" spans="1:22" ht="15" customHeight="1" thickTop="1" thickBot="1" x14ac:dyDescent="0.3">
      <c r="A31" s="99"/>
      <c r="B31" s="99"/>
      <c r="D31" s="97"/>
      <c r="E31" s="18" t="s">
        <v>84</v>
      </c>
      <c r="F31" s="19">
        <f>PV(TakeAway!I16,1,((TakeAway!K4)*1.6),,0)</f>
        <v>-6973818181.8181877</v>
      </c>
      <c r="G31" s="74"/>
      <c r="H31" s="102"/>
      <c r="I31" s="101"/>
      <c r="J31" s="74"/>
      <c r="K31" s="86"/>
      <c r="L31" s="87"/>
      <c r="M31" s="90"/>
      <c r="N31" s="91"/>
      <c r="O31" s="85"/>
      <c r="P31" s="85"/>
      <c r="Q31" s="85"/>
      <c r="R31" s="85"/>
      <c r="S31" s="85"/>
      <c r="T31" s="85"/>
      <c r="U31" s="85"/>
      <c r="V31" s="85"/>
    </row>
    <row r="32" spans="1:22" ht="15" customHeight="1" thickTop="1" thickBot="1" x14ac:dyDescent="0.3">
      <c r="A32" s="99"/>
      <c r="B32" s="99"/>
      <c r="D32" s="97"/>
      <c r="E32" s="18" t="s">
        <v>85</v>
      </c>
      <c r="F32" s="19">
        <f>PV(TakeAway!I16,1,((TakeAway!K4)*1.7),,0)</f>
        <v>-7409681818.1818247</v>
      </c>
      <c r="G32" s="74"/>
      <c r="H32" s="102"/>
      <c r="I32" s="101"/>
      <c r="J32" s="74"/>
      <c r="K32" s="86"/>
      <c r="L32" s="87"/>
      <c r="M32" s="90"/>
      <c r="N32" s="91"/>
      <c r="O32" s="85"/>
      <c r="P32" s="85"/>
      <c r="Q32" s="85"/>
      <c r="R32" s="85"/>
      <c r="S32" s="85"/>
      <c r="T32" s="85"/>
      <c r="U32" s="85"/>
      <c r="V32" s="85"/>
    </row>
    <row r="33" spans="1:22" ht="15" customHeight="1" thickTop="1" thickBot="1" x14ac:dyDescent="0.3">
      <c r="A33" s="99"/>
      <c r="B33" s="99"/>
      <c r="F33" s="16"/>
      <c r="J33" s="74"/>
      <c r="K33" s="86"/>
      <c r="L33" s="87"/>
      <c r="M33" s="90"/>
      <c r="N33" s="91"/>
      <c r="O33" s="85"/>
      <c r="P33" s="85"/>
      <c r="Q33" s="85"/>
      <c r="R33" s="85"/>
      <c r="S33" s="85"/>
      <c r="T33" s="85"/>
      <c r="U33" s="85"/>
      <c r="V33" s="85"/>
    </row>
    <row r="34" spans="1:22" ht="15" customHeight="1" thickTop="1" thickBot="1" x14ac:dyDescent="0.3">
      <c r="A34" s="99"/>
      <c r="B34" s="99"/>
      <c r="F34" s="16"/>
      <c r="J34" s="74"/>
      <c r="K34" s="86"/>
      <c r="L34" s="87"/>
      <c r="M34" s="90"/>
      <c r="N34" s="91"/>
      <c r="O34" s="85"/>
      <c r="P34" s="85"/>
      <c r="Q34" s="85"/>
      <c r="R34" s="85"/>
      <c r="S34" s="85"/>
      <c r="T34" s="85"/>
      <c r="U34" s="85"/>
      <c r="V34" s="85"/>
    </row>
    <row r="35" spans="1:22" ht="15" customHeight="1" thickTop="1" thickBot="1" x14ac:dyDescent="0.3">
      <c r="A35" s="99"/>
      <c r="B35" s="99"/>
      <c r="F35" s="20" t="s">
        <v>90</v>
      </c>
      <c r="J35" s="74"/>
      <c r="K35" s="86"/>
      <c r="L35" s="87"/>
      <c r="M35" s="90"/>
      <c r="N35" s="91"/>
      <c r="O35" s="85"/>
      <c r="P35" s="85"/>
      <c r="Q35" s="85"/>
      <c r="R35" s="85"/>
      <c r="S35" s="85"/>
      <c r="T35" s="85"/>
      <c r="U35" s="85"/>
      <c r="V35" s="85"/>
    </row>
    <row r="36" spans="1:22" ht="15" customHeight="1" thickTop="1" thickBot="1" x14ac:dyDescent="0.3">
      <c r="A36" s="99"/>
      <c r="B36" s="99"/>
      <c r="D36" s="96" t="s">
        <v>87</v>
      </c>
      <c r="E36" s="18" t="s">
        <v>78</v>
      </c>
      <c r="F36" s="22">
        <f>-PV(TakeAway!I16,1,TakeAway!I6,,0)</f>
        <v>8710227272.7272797</v>
      </c>
      <c r="G36" s="68"/>
      <c r="H36" s="96" t="s">
        <v>92</v>
      </c>
      <c r="I36" s="100">
        <f>F36-PV(TakeAway!I16,1,,F37,0)-PV(TakeAway!I16,2,,F38,0)-PV(TakeAway!I16,3,,F39,0)-PV(TakeAway!I16,4,,F40,0)-PV(TakeAway!I16,5,,F41,0)-PV(TakeAway!I16,6,,F42,0)-PV(TakeAway!I16,7,,F43,0)</f>
        <v>66472732574.233803</v>
      </c>
      <c r="J36" s="74"/>
      <c r="K36" s="86"/>
      <c r="L36" s="87"/>
      <c r="M36" s="90"/>
      <c r="N36" s="91"/>
      <c r="O36" s="85"/>
      <c r="P36" s="85"/>
      <c r="Q36" s="85"/>
      <c r="R36" s="85"/>
      <c r="S36" s="85"/>
      <c r="T36" s="85"/>
      <c r="U36" s="85"/>
      <c r="V36" s="85"/>
    </row>
    <row r="37" spans="1:22" ht="15" customHeight="1" thickTop="1" thickBot="1" x14ac:dyDescent="0.3">
      <c r="A37" s="99"/>
      <c r="B37" s="99"/>
      <c r="D37" s="96"/>
      <c r="E37" s="18" t="s">
        <v>79</v>
      </c>
      <c r="F37" s="22">
        <f>-PV(TakeAway!I16,1,((TakeAway!I6)*1.1),,0)</f>
        <v>9581250000.0000076</v>
      </c>
      <c r="G37" s="69"/>
      <c r="H37" s="96"/>
      <c r="I37" s="101"/>
      <c r="J37" s="74"/>
      <c r="K37" s="86"/>
      <c r="L37" s="87"/>
      <c r="M37" s="90"/>
      <c r="N37" s="91"/>
      <c r="O37" s="85"/>
      <c r="P37" s="85"/>
      <c r="Q37" s="85"/>
      <c r="R37" s="85"/>
      <c r="S37" s="85"/>
      <c r="T37" s="85"/>
      <c r="U37" s="85"/>
      <c r="V37" s="85"/>
    </row>
    <row r="38" spans="1:22" ht="15" customHeight="1" thickTop="1" thickBot="1" x14ac:dyDescent="0.3">
      <c r="A38" s="99"/>
      <c r="B38" s="99"/>
      <c r="D38" s="96"/>
      <c r="E38" s="18" t="s">
        <v>80</v>
      </c>
      <c r="F38" s="22">
        <f>-PV(TakeAway!I16,1,((TakeAway!I6)*1.2),,0)</f>
        <v>10452272727.272736</v>
      </c>
      <c r="G38" s="69"/>
      <c r="H38" s="96"/>
      <c r="I38" s="101"/>
      <c r="J38" s="74"/>
      <c r="K38" s="86"/>
      <c r="L38" s="87"/>
      <c r="M38" s="90"/>
      <c r="N38" s="91"/>
    </row>
    <row r="39" spans="1:22" ht="15" customHeight="1" thickTop="1" thickBot="1" x14ac:dyDescent="0.3">
      <c r="A39" s="99"/>
      <c r="B39" s="99"/>
      <c r="D39" s="96"/>
      <c r="E39" s="18" t="s">
        <v>81</v>
      </c>
      <c r="F39" s="22">
        <f>-PV(TakeAway!I16,1,((TakeAway!I6)*1.3),,0)</f>
        <v>11323295454.545464</v>
      </c>
      <c r="G39" s="69"/>
      <c r="H39" s="96"/>
      <c r="I39" s="101"/>
      <c r="J39" s="74"/>
      <c r="K39" s="86"/>
      <c r="L39" s="87"/>
      <c r="M39" s="92"/>
      <c r="N39" s="93"/>
    </row>
    <row r="40" spans="1:22" ht="15" customHeight="1" thickTop="1" thickBot="1" x14ac:dyDescent="0.3">
      <c r="A40" s="99"/>
      <c r="B40" s="99"/>
      <c r="D40" s="96"/>
      <c r="E40" s="18" t="s">
        <v>82</v>
      </c>
      <c r="F40" s="22">
        <f>-PV(TakeAway!I16,1,((TakeAway!I6)*1.4),,0)</f>
        <v>12194318181.818192</v>
      </c>
      <c r="G40" s="69"/>
      <c r="H40" s="96"/>
      <c r="I40" s="101"/>
      <c r="J40" s="74"/>
    </row>
    <row r="41" spans="1:22" ht="15" customHeight="1" thickTop="1" thickBot="1" x14ac:dyDescent="0.3">
      <c r="A41" s="99"/>
      <c r="B41" s="99"/>
      <c r="D41" s="96"/>
      <c r="E41" s="18" t="s">
        <v>83</v>
      </c>
      <c r="F41" s="22">
        <f>-PV(TakeAway!I16,1,((TakeAway!I6)*1.5),,0)</f>
        <v>13065340909.090919</v>
      </c>
      <c r="G41" s="69"/>
      <c r="H41" s="96"/>
      <c r="I41" s="101"/>
      <c r="J41" s="74"/>
    </row>
    <row r="42" spans="1:22" ht="15" customHeight="1" thickTop="1" thickBot="1" x14ac:dyDescent="0.3">
      <c r="A42" s="99"/>
      <c r="B42" s="99"/>
      <c r="D42" s="96"/>
      <c r="E42" s="18" t="s">
        <v>84</v>
      </c>
      <c r="F42" s="22">
        <f>-PV(TakeAway!I16,1,((TakeAway!I6)*1.6),,0)</f>
        <v>13936363636.363647</v>
      </c>
      <c r="G42" s="69"/>
      <c r="H42" s="96"/>
      <c r="I42" s="101"/>
      <c r="J42" s="74"/>
    </row>
    <row r="43" spans="1:22" ht="15" customHeight="1" thickTop="1" thickBot="1" x14ac:dyDescent="0.3">
      <c r="A43" s="99"/>
      <c r="B43" s="99"/>
      <c r="D43" s="96"/>
      <c r="E43" s="18" t="s">
        <v>85</v>
      </c>
      <c r="F43" s="22">
        <f>-PV(TakeAway!I16,1,((TakeAway!I6)*1.7),,0)</f>
        <v>14807386363.636375</v>
      </c>
      <c r="G43" s="70"/>
      <c r="H43" s="96"/>
      <c r="I43" s="101"/>
      <c r="J43" s="74"/>
    </row>
    <row r="44" spans="1:22" ht="15.75" thickTop="1" x14ac:dyDescent="0.25"/>
  </sheetData>
  <mergeCells count="24">
    <mergeCell ref="G36:G43"/>
    <mergeCell ref="H36:H43"/>
    <mergeCell ref="I2:I10"/>
    <mergeCell ref="I14:I21"/>
    <mergeCell ref="I24:I32"/>
    <mergeCell ref="I36:I43"/>
    <mergeCell ref="H2:H10"/>
    <mergeCell ref="H24:H32"/>
    <mergeCell ref="H14:H21"/>
    <mergeCell ref="G2:G10"/>
    <mergeCell ref="G14:G21"/>
    <mergeCell ref="G24:G32"/>
    <mergeCell ref="D2:D10"/>
    <mergeCell ref="D14:D21"/>
    <mergeCell ref="D36:D43"/>
    <mergeCell ref="D24:D32"/>
    <mergeCell ref="A1:B21"/>
    <mergeCell ref="A23:B43"/>
    <mergeCell ref="O8:V37"/>
    <mergeCell ref="J1:J43"/>
    <mergeCell ref="K6:L17"/>
    <mergeCell ref="K28:L39"/>
    <mergeCell ref="M28:N39"/>
    <mergeCell ref="M6:N17"/>
  </mergeCells>
  <phoneticPr fontId="12" type="noConversion"/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906-77BF-4EE4-97BB-6F460EDB6DD7}">
  <dimension ref="A1:W44"/>
  <sheetViews>
    <sheetView topLeftCell="F1" zoomScale="85" zoomScaleNormal="85" workbookViewId="0">
      <selection activeCell="H36" sqref="H36:H43"/>
    </sheetView>
  </sheetViews>
  <sheetFormatPr defaultRowHeight="15" x14ac:dyDescent="0.25"/>
  <cols>
    <col min="2" max="2" width="11.42578125" customWidth="1"/>
    <col min="6" max="6" width="20" customWidth="1"/>
    <col min="7" max="7" width="3" customWidth="1"/>
    <col min="8" max="8" width="21.28515625" customWidth="1"/>
    <col min="9" max="9" width="2.7109375" customWidth="1"/>
    <col min="10" max="10" width="15.85546875" customWidth="1"/>
    <col min="11" max="11" width="28.42578125" customWidth="1"/>
    <col min="12" max="12" width="3.28515625" customWidth="1"/>
    <col min="13" max="13" width="19.28515625" customWidth="1"/>
    <col min="15" max="15" width="10.42578125" customWidth="1"/>
  </cols>
  <sheetData>
    <row r="1" spans="1:23" ht="16.5" thickTop="1" thickBot="1" x14ac:dyDescent="0.3">
      <c r="A1" s="98" t="s">
        <v>88</v>
      </c>
      <c r="B1" s="98"/>
      <c r="F1" s="20" t="s">
        <v>90</v>
      </c>
      <c r="G1" s="23"/>
      <c r="H1" s="24" t="s">
        <v>95</v>
      </c>
      <c r="J1" s="23"/>
      <c r="K1" s="23"/>
      <c r="L1" s="74"/>
      <c r="M1" s="27"/>
      <c r="O1" s="23"/>
      <c r="P1" s="23"/>
      <c r="Q1" s="23"/>
      <c r="R1" s="23"/>
      <c r="S1" s="23"/>
      <c r="T1" s="23"/>
      <c r="U1" s="23"/>
      <c r="V1" s="23"/>
    </row>
    <row r="2" spans="1:23" ht="15" customHeight="1" thickTop="1" thickBot="1" x14ac:dyDescent="0.3">
      <c r="A2" s="98"/>
      <c r="B2" s="98"/>
      <c r="D2" s="94" t="s">
        <v>76</v>
      </c>
      <c r="E2" s="17" t="s">
        <v>77</v>
      </c>
      <c r="F2" s="19">
        <f>NPW!F2</f>
        <v>-5737000800</v>
      </c>
      <c r="G2" s="74"/>
      <c r="H2" s="36">
        <f>-FV(FastFood!I16,8,,F2,0)</f>
        <v>-12297770717.841055</v>
      </c>
      <c r="I2" s="74"/>
      <c r="J2" s="102" t="s">
        <v>96</v>
      </c>
      <c r="K2" s="100">
        <f>SUM(H2:H10)</f>
        <v>-79781578298.343124</v>
      </c>
      <c r="L2" s="74"/>
      <c r="O2" s="23"/>
      <c r="P2" s="23"/>
      <c r="Q2" s="23"/>
      <c r="R2" s="23"/>
      <c r="S2" s="23"/>
      <c r="T2" s="23"/>
      <c r="U2" s="23"/>
      <c r="V2" s="23"/>
    </row>
    <row r="3" spans="1:23" ht="15" customHeight="1" thickTop="1" thickBot="1" x14ac:dyDescent="0.3">
      <c r="A3" s="98"/>
      <c r="B3" s="98"/>
      <c r="D3" s="94"/>
      <c r="E3" s="17" t="s">
        <v>78</v>
      </c>
      <c r="F3" s="19">
        <f>NPW!F3</f>
        <v>-4125190909.0909123</v>
      </c>
      <c r="G3" s="74"/>
      <c r="H3" s="35">
        <f>-FV(FastFood!I16,8,,F3,0)</f>
        <v>-8842713071.841011</v>
      </c>
      <c r="I3" s="74"/>
      <c r="J3" s="102"/>
      <c r="K3" s="101"/>
      <c r="L3" s="74"/>
      <c r="O3" s="23"/>
      <c r="P3" s="23"/>
      <c r="Q3" s="23"/>
      <c r="R3" s="23"/>
      <c r="S3" s="23"/>
      <c r="T3" s="23"/>
      <c r="U3" s="23"/>
      <c r="V3" s="23"/>
    </row>
    <row r="4" spans="1:23" ht="15" customHeight="1" thickTop="1" thickBot="1" x14ac:dyDescent="0.3">
      <c r="A4" s="98"/>
      <c r="B4" s="98"/>
      <c r="D4" s="94"/>
      <c r="E4" s="17" t="s">
        <v>79</v>
      </c>
      <c r="F4" s="19">
        <f>NPW!F4</f>
        <v>-4537710000.0000038</v>
      </c>
      <c r="G4" s="74"/>
      <c r="H4" s="35">
        <f>-FV(FastFood!I16,7,,F4,0)</f>
        <v>-8842713071.841013</v>
      </c>
      <c r="I4" s="74"/>
      <c r="J4" s="102"/>
      <c r="K4" s="101"/>
      <c r="L4" s="74"/>
      <c r="O4" s="23"/>
      <c r="P4" s="23"/>
      <c r="Q4" s="23"/>
      <c r="R4" s="23"/>
      <c r="S4" s="23"/>
      <c r="T4" s="23"/>
      <c r="U4" s="23"/>
      <c r="V4" s="23"/>
    </row>
    <row r="5" spans="1:23" ht="15" customHeight="1" thickTop="1" thickBot="1" x14ac:dyDescent="0.3">
      <c r="A5" s="98"/>
      <c r="B5" s="98"/>
      <c r="D5" s="94"/>
      <c r="E5" s="17" t="s">
        <v>80</v>
      </c>
      <c r="F5" s="19">
        <f>NPW!F5</f>
        <v>-4950229090.9090948</v>
      </c>
      <c r="G5" s="74"/>
      <c r="H5" s="35">
        <f>-FV(FastFood!I16,6,,F5,0)</f>
        <v>-8769632798.5200119</v>
      </c>
      <c r="I5" s="74"/>
      <c r="J5" s="102"/>
      <c r="K5" s="101"/>
      <c r="L5" s="74"/>
      <c r="M5" s="86" t="s">
        <v>98</v>
      </c>
      <c r="N5" s="103">
        <f>K2+K14</f>
        <v>42910575351.657013</v>
      </c>
      <c r="O5" s="104"/>
      <c r="P5" s="23"/>
      <c r="Q5" s="23"/>
      <c r="R5" s="23"/>
      <c r="S5" s="23"/>
      <c r="T5" s="23"/>
      <c r="U5" s="23"/>
      <c r="V5" s="23"/>
    </row>
    <row r="6" spans="1:23" ht="15" customHeight="1" thickTop="1" thickBot="1" x14ac:dyDescent="0.3">
      <c r="A6" s="98"/>
      <c r="B6" s="98"/>
      <c r="D6" s="94"/>
      <c r="E6" s="17" t="s">
        <v>81</v>
      </c>
      <c r="F6" s="19">
        <f>NPW!F6</f>
        <v>-5362748181.8181858</v>
      </c>
      <c r="G6" s="74"/>
      <c r="H6" s="35">
        <f>-FV(FastFood!I16,5,,F6,0)</f>
        <v>-8636759574.3000088</v>
      </c>
      <c r="I6" s="74"/>
      <c r="J6" s="102"/>
      <c r="K6" s="101"/>
      <c r="L6" s="74"/>
      <c r="M6" s="86"/>
      <c r="N6" s="104"/>
      <c r="O6" s="104"/>
      <c r="P6" s="23"/>
      <c r="Q6" s="23"/>
      <c r="R6" s="23"/>
      <c r="S6" s="23"/>
      <c r="T6" s="23"/>
      <c r="U6" s="23"/>
      <c r="V6" s="23"/>
    </row>
    <row r="7" spans="1:23" ht="15" customHeight="1" thickTop="1" thickBot="1" x14ac:dyDescent="0.3">
      <c r="A7" s="98"/>
      <c r="B7" s="98"/>
      <c r="D7" s="94"/>
      <c r="E7" s="17" t="s">
        <v>82</v>
      </c>
      <c r="F7" s="19">
        <f>NPW!F7</f>
        <v>-5775267272.7272778</v>
      </c>
      <c r="G7" s="74"/>
      <c r="H7" s="35">
        <f>-FV(FastFood!I16,4,,F7,0)</f>
        <v>-8455568814.0000095</v>
      </c>
      <c r="I7" s="74"/>
      <c r="J7" s="102"/>
      <c r="K7" s="101"/>
      <c r="L7" s="74"/>
      <c r="M7" s="86"/>
      <c r="N7" s="104"/>
      <c r="O7" s="104"/>
      <c r="P7" s="23"/>
      <c r="Q7" s="23"/>
      <c r="R7" s="23"/>
      <c r="S7" s="23"/>
      <c r="T7" s="23"/>
      <c r="U7" s="23"/>
      <c r="V7" s="23"/>
    </row>
    <row r="8" spans="1:23" ht="15" customHeight="1" thickTop="1" thickBot="1" x14ac:dyDescent="0.3">
      <c r="A8" s="98"/>
      <c r="B8" s="98"/>
      <c r="D8" s="94"/>
      <c r="E8" s="17" t="s">
        <v>83</v>
      </c>
      <c r="F8" s="19">
        <f>NPW!F8</f>
        <v>-6187786363.6363688</v>
      </c>
      <c r="G8" s="74"/>
      <c r="H8" s="35">
        <f>-FV(FastFood!I16,3,,F8,0)</f>
        <v>-8235943650.0000095</v>
      </c>
      <c r="I8" s="74"/>
      <c r="J8" s="102"/>
      <c r="K8" s="101"/>
      <c r="L8" s="74"/>
      <c r="M8" s="86"/>
      <c r="N8" s="104"/>
      <c r="O8" s="104"/>
      <c r="P8" s="84" t="s">
        <v>94</v>
      </c>
      <c r="Q8" s="84"/>
      <c r="R8" s="84"/>
      <c r="S8" s="84"/>
      <c r="T8" s="84"/>
      <c r="U8" s="84"/>
      <c r="V8" s="84"/>
      <c r="W8" s="84"/>
    </row>
    <row r="9" spans="1:23" ht="15" customHeight="1" thickTop="1" thickBot="1" x14ac:dyDescent="0.3">
      <c r="A9" s="98"/>
      <c r="B9" s="98"/>
      <c r="D9" s="94"/>
      <c r="E9" s="17" t="s">
        <v>84</v>
      </c>
      <c r="F9" s="19">
        <f>NPW!F9</f>
        <v>-6600305454.5454597</v>
      </c>
      <c r="G9" s="74"/>
      <c r="H9" s="35">
        <f>-FV(FastFood!I16,2,,F9,0)</f>
        <v>-7986369600.0000076</v>
      </c>
      <c r="I9" s="74"/>
      <c r="J9" s="102"/>
      <c r="K9" s="101"/>
      <c r="L9" s="74"/>
      <c r="M9" s="86"/>
      <c r="N9" s="104"/>
      <c r="O9" s="104"/>
      <c r="P9" s="84"/>
      <c r="Q9" s="84"/>
      <c r="R9" s="84"/>
      <c r="S9" s="84"/>
      <c r="T9" s="84"/>
      <c r="U9" s="84"/>
      <c r="V9" s="84"/>
      <c r="W9" s="84"/>
    </row>
    <row r="10" spans="1:23" ht="15" customHeight="1" thickTop="1" thickBot="1" x14ac:dyDescent="0.3">
      <c r="A10" s="98"/>
      <c r="B10" s="98"/>
      <c r="D10" s="94"/>
      <c r="E10" s="17" t="s">
        <v>85</v>
      </c>
      <c r="F10" s="19">
        <f>NPW!F10</f>
        <v>-7012824545.4545507</v>
      </c>
      <c r="G10" s="74"/>
      <c r="H10" s="35">
        <f>-FV(FastFood!I16,1,,F10,0)</f>
        <v>-7714107000.0000067</v>
      </c>
      <c r="I10" s="74"/>
      <c r="J10" s="102"/>
      <c r="K10" s="101"/>
      <c r="L10" s="74"/>
      <c r="M10" s="86"/>
      <c r="N10" s="104"/>
      <c r="O10" s="104"/>
      <c r="P10" s="84"/>
      <c r="Q10" s="84"/>
      <c r="R10" s="84"/>
      <c r="S10" s="84"/>
      <c r="T10" s="84"/>
      <c r="U10" s="84"/>
      <c r="V10" s="84"/>
      <c r="W10" s="84"/>
    </row>
    <row r="11" spans="1:23" ht="15" customHeight="1" thickTop="1" thickBot="1" x14ac:dyDescent="0.3">
      <c r="A11" s="98"/>
      <c r="B11" s="98"/>
      <c r="G11" s="23"/>
      <c r="H11" s="25"/>
      <c r="J11" s="23"/>
      <c r="K11" s="23"/>
      <c r="L11" s="74"/>
      <c r="M11" s="86"/>
      <c r="N11" s="104"/>
      <c r="O11" s="104"/>
      <c r="P11" s="84"/>
      <c r="Q11" s="84"/>
      <c r="R11" s="84"/>
      <c r="S11" s="84"/>
      <c r="T11" s="84"/>
      <c r="U11" s="84"/>
      <c r="V11" s="84"/>
      <c r="W11" s="84"/>
    </row>
    <row r="12" spans="1:23" ht="15" customHeight="1" thickTop="1" thickBot="1" x14ac:dyDescent="0.3">
      <c r="A12" s="98"/>
      <c r="B12" s="98"/>
      <c r="G12" s="23"/>
      <c r="H12" s="25"/>
      <c r="J12" s="23"/>
      <c r="K12" s="23"/>
      <c r="L12" s="74"/>
      <c r="M12" s="86"/>
      <c r="N12" s="104"/>
      <c r="O12" s="104"/>
      <c r="P12" s="84"/>
      <c r="Q12" s="84"/>
      <c r="R12" s="84"/>
      <c r="S12" s="84"/>
      <c r="T12" s="84"/>
      <c r="U12" s="84"/>
      <c r="V12" s="84"/>
      <c r="W12" s="84"/>
    </row>
    <row r="13" spans="1:23" ht="15" customHeight="1" thickTop="1" thickBot="1" x14ac:dyDescent="0.3">
      <c r="A13" s="98"/>
      <c r="B13" s="98"/>
      <c r="F13" s="20" t="s">
        <v>90</v>
      </c>
      <c r="G13" s="23"/>
      <c r="H13" s="25"/>
      <c r="J13" s="23"/>
      <c r="K13" s="23"/>
      <c r="L13" s="74"/>
      <c r="M13" s="86"/>
      <c r="N13" s="104"/>
      <c r="O13" s="104"/>
      <c r="P13" s="84"/>
      <c r="Q13" s="84"/>
      <c r="R13" s="84"/>
      <c r="S13" s="84"/>
      <c r="T13" s="84"/>
      <c r="U13" s="84"/>
      <c r="V13" s="84"/>
      <c r="W13" s="84"/>
    </row>
    <row r="14" spans="1:23" ht="15" customHeight="1" thickTop="1" thickBot="1" x14ac:dyDescent="0.3">
      <c r="A14" s="98"/>
      <c r="B14" s="98"/>
      <c r="D14" s="95" t="s">
        <v>87</v>
      </c>
      <c r="E14" s="18" t="s">
        <v>78</v>
      </c>
      <c r="F14" s="22">
        <f>NPW!F14</f>
        <v>7500000000.0000067</v>
      </c>
      <c r="G14" s="68"/>
      <c r="H14" s="34">
        <f>-FV(FastFood!I16,8,,F14,0)</f>
        <v>16076916075.000023</v>
      </c>
      <c r="I14" s="74"/>
      <c r="J14" s="96" t="s">
        <v>97</v>
      </c>
      <c r="K14" s="100">
        <f>SUM(H14:H21)</f>
        <v>122692153650.00014</v>
      </c>
      <c r="L14" s="74"/>
      <c r="M14" s="86"/>
      <c r="N14" s="104"/>
      <c r="O14" s="104"/>
      <c r="P14" s="84"/>
      <c r="Q14" s="84"/>
      <c r="R14" s="84"/>
      <c r="S14" s="84"/>
      <c r="T14" s="84"/>
      <c r="U14" s="84"/>
      <c r="V14" s="84"/>
      <c r="W14" s="84"/>
    </row>
    <row r="15" spans="1:23" ht="15" customHeight="1" thickTop="1" thickBot="1" x14ac:dyDescent="0.3">
      <c r="A15" s="98"/>
      <c r="B15" s="98"/>
      <c r="D15" s="95"/>
      <c r="E15" s="18" t="s">
        <v>79</v>
      </c>
      <c r="F15" s="22">
        <f>NPW!F15</f>
        <v>8250000000.0000067</v>
      </c>
      <c r="G15" s="69"/>
      <c r="H15" s="34">
        <f>-FV(FastFood!I16,7,,F15,0)</f>
        <v>16076916075.000023</v>
      </c>
      <c r="I15" s="74"/>
      <c r="J15" s="96"/>
      <c r="K15" s="100"/>
      <c r="L15" s="74"/>
      <c r="M15" s="86"/>
      <c r="N15" s="104"/>
      <c r="O15" s="104"/>
      <c r="P15" s="84"/>
      <c r="Q15" s="84"/>
      <c r="R15" s="84"/>
      <c r="S15" s="84"/>
      <c r="T15" s="84"/>
      <c r="U15" s="84"/>
      <c r="V15" s="84"/>
      <c r="W15" s="84"/>
    </row>
    <row r="16" spans="1:23" ht="15" customHeight="1" thickTop="1" thickBot="1" x14ac:dyDescent="0.3">
      <c r="A16" s="98"/>
      <c r="B16" s="98"/>
      <c r="D16" s="95"/>
      <c r="E16" s="18" t="s">
        <v>80</v>
      </c>
      <c r="F16" s="22">
        <f>NPW!F16</f>
        <v>9000000000.0000076</v>
      </c>
      <c r="G16" s="69"/>
      <c r="H16" s="34">
        <f>-FV(FastFood!I16,6,,F16,0)</f>
        <v>15944049000.000021</v>
      </c>
      <c r="I16" s="74"/>
      <c r="J16" s="96"/>
      <c r="K16" s="100"/>
      <c r="L16" s="74"/>
      <c r="M16" s="86"/>
      <c r="N16" s="104"/>
      <c r="O16" s="104"/>
      <c r="P16" s="84"/>
      <c r="Q16" s="84"/>
      <c r="R16" s="84"/>
      <c r="S16" s="84"/>
      <c r="T16" s="84"/>
      <c r="U16" s="84"/>
      <c r="V16" s="84"/>
      <c r="W16" s="84"/>
    </row>
    <row r="17" spans="1:23" ht="15" customHeight="1" thickTop="1" thickBot="1" x14ac:dyDescent="0.3">
      <c r="A17" s="98"/>
      <c r="B17" s="98"/>
      <c r="D17" s="95"/>
      <c r="E17" s="18" t="s">
        <v>81</v>
      </c>
      <c r="F17" s="22">
        <f>NPW!F17</f>
        <v>9750000000.0000076</v>
      </c>
      <c r="G17" s="69"/>
      <c r="H17" s="34">
        <f>-FV(FastFood!I16,5,,F17,0)</f>
        <v>15702472500.000017</v>
      </c>
      <c r="I17" s="74"/>
      <c r="J17" s="96"/>
      <c r="K17" s="100"/>
      <c r="L17" s="74"/>
      <c r="M17" s="86"/>
      <c r="N17" s="104"/>
      <c r="O17" s="104"/>
      <c r="P17" s="84"/>
      <c r="Q17" s="84"/>
      <c r="R17" s="84"/>
      <c r="S17" s="84"/>
      <c r="T17" s="84"/>
      <c r="U17" s="84"/>
      <c r="V17" s="84"/>
      <c r="W17" s="84"/>
    </row>
    <row r="18" spans="1:23" ht="15" customHeight="1" thickTop="1" thickBot="1" x14ac:dyDescent="0.3">
      <c r="A18" s="98"/>
      <c r="B18" s="98"/>
      <c r="D18" s="95"/>
      <c r="E18" s="18" t="s">
        <v>82</v>
      </c>
      <c r="F18" s="22">
        <f>NPW!F18</f>
        <v>10500000000.000008</v>
      </c>
      <c r="G18" s="69"/>
      <c r="H18" s="34">
        <f>-FV(FastFood!I16,4,,F18,0)</f>
        <v>15373050000.000015</v>
      </c>
      <c r="I18" s="74"/>
      <c r="J18" s="96"/>
      <c r="K18" s="100"/>
      <c r="L18" s="74"/>
      <c r="M18" s="86"/>
      <c r="N18" s="104"/>
      <c r="O18" s="104"/>
      <c r="P18" s="84"/>
      <c r="Q18" s="84"/>
      <c r="R18" s="84"/>
      <c r="S18" s="84"/>
      <c r="T18" s="84"/>
      <c r="U18" s="84"/>
      <c r="V18" s="84"/>
      <c r="W18" s="84"/>
    </row>
    <row r="19" spans="1:23" ht="15" customHeight="1" thickTop="1" thickBot="1" x14ac:dyDescent="0.3">
      <c r="A19" s="98"/>
      <c r="B19" s="98"/>
      <c r="D19" s="95"/>
      <c r="E19" s="18" t="s">
        <v>83</v>
      </c>
      <c r="F19" s="22">
        <f>NPW!F19</f>
        <v>11250000000.00001</v>
      </c>
      <c r="G19" s="69"/>
      <c r="H19" s="34">
        <f>-FV(FastFood!I16,3,,F19,0)</f>
        <v>14973750000.000017</v>
      </c>
      <c r="I19" s="74"/>
      <c r="J19" s="96"/>
      <c r="K19" s="100"/>
      <c r="L19" s="74"/>
      <c r="O19" s="23"/>
      <c r="P19" s="84"/>
      <c r="Q19" s="84"/>
      <c r="R19" s="84"/>
      <c r="S19" s="84"/>
      <c r="T19" s="84"/>
      <c r="U19" s="84"/>
      <c r="V19" s="84"/>
      <c r="W19" s="84"/>
    </row>
    <row r="20" spans="1:23" ht="15" customHeight="1" thickTop="1" thickBot="1" x14ac:dyDescent="0.3">
      <c r="A20" s="98"/>
      <c r="B20" s="98"/>
      <c r="D20" s="95"/>
      <c r="E20" s="18" t="s">
        <v>84</v>
      </c>
      <c r="F20" s="22">
        <f>NPW!F20</f>
        <v>12000000000.00001</v>
      </c>
      <c r="G20" s="69"/>
      <c r="H20" s="34">
        <f>-FV(FastFood!I16,2,,F20,0)</f>
        <v>14520000000.000013</v>
      </c>
      <c r="I20" s="74"/>
      <c r="J20" s="96"/>
      <c r="K20" s="100"/>
      <c r="L20" s="74"/>
      <c r="O20" s="23"/>
      <c r="P20" s="84"/>
      <c r="Q20" s="84"/>
      <c r="R20" s="84"/>
      <c r="S20" s="84"/>
      <c r="T20" s="84"/>
      <c r="U20" s="84"/>
      <c r="V20" s="84"/>
      <c r="W20" s="84"/>
    </row>
    <row r="21" spans="1:23" ht="15" customHeight="1" thickTop="1" thickBot="1" x14ac:dyDescent="0.3">
      <c r="A21" s="98"/>
      <c r="B21" s="98"/>
      <c r="D21" s="95"/>
      <c r="E21" s="18" t="s">
        <v>85</v>
      </c>
      <c r="F21" s="22">
        <f>NPW!F21</f>
        <v>12750000000.000011</v>
      </c>
      <c r="G21" s="70"/>
      <c r="H21" s="34">
        <f>-FV(FastFood!I16,1,,F21,0)</f>
        <v>14025000000.000013</v>
      </c>
      <c r="I21" s="74"/>
      <c r="J21" s="96"/>
      <c r="K21" s="100"/>
      <c r="L21" s="74"/>
      <c r="O21" s="23"/>
      <c r="P21" s="84"/>
      <c r="Q21" s="84"/>
      <c r="R21" s="84"/>
      <c r="S21" s="84"/>
      <c r="T21" s="84"/>
      <c r="U21" s="84"/>
      <c r="V21" s="84"/>
      <c r="W21" s="84"/>
    </row>
    <row r="22" spans="1:23" ht="16.5" customHeight="1" thickTop="1" thickBot="1" x14ac:dyDescent="0.3">
      <c r="G22" s="23"/>
      <c r="H22" s="25"/>
      <c r="J22" s="23"/>
      <c r="K22" s="23"/>
      <c r="L22" s="74"/>
      <c r="O22" s="23"/>
      <c r="P22" s="84"/>
      <c r="Q22" s="84"/>
      <c r="R22" s="84"/>
      <c r="S22" s="84"/>
      <c r="T22" s="84"/>
      <c r="U22" s="84"/>
      <c r="V22" s="84"/>
      <c r="W22" s="84"/>
    </row>
    <row r="23" spans="1:23" ht="16.5" customHeight="1" thickTop="1" thickBot="1" x14ac:dyDescent="0.3">
      <c r="A23" s="99" t="s">
        <v>89</v>
      </c>
      <c r="B23" s="99"/>
      <c r="F23" s="20" t="s">
        <v>90</v>
      </c>
      <c r="G23" s="23"/>
      <c r="H23" s="25"/>
      <c r="J23" s="23"/>
      <c r="K23" s="23"/>
      <c r="L23" s="74"/>
      <c r="O23" s="23"/>
      <c r="P23" s="84"/>
      <c r="Q23" s="84"/>
      <c r="R23" s="84"/>
      <c r="S23" s="84"/>
      <c r="T23" s="84"/>
      <c r="U23" s="84"/>
      <c r="V23" s="84"/>
      <c r="W23" s="84"/>
    </row>
    <row r="24" spans="1:23" ht="15" customHeight="1" thickTop="1" thickBot="1" x14ac:dyDescent="0.3">
      <c r="A24" s="99"/>
      <c r="B24" s="99"/>
      <c r="D24" s="97" t="s">
        <v>76</v>
      </c>
      <c r="E24" s="18" t="s">
        <v>77</v>
      </c>
      <c r="F24" s="19">
        <f>NPW!F24</f>
        <v>-5762000800</v>
      </c>
      <c r="G24" s="68"/>
      <c r="H24" s="35">
        <f>-FV(TakeAway!I16,8,,F24,0)</f>
        <v>-12351360438.091055</v>
      </c>
      <c r="I24" s="68"/>
      <c r="J24" s="102" t="s">
        <v>96</v>
      </c>
      <c r="K24" s="100">
        <f>SUM(H24:H32)</f>
        <v>-83654091428.99115</v>
      </c>
      <c r="L24" s="74"/>
      <c r="O24" s="23"/>
      <c r="P24" s="84"/>
      <c r="Q24" s="84"/>
      <c r="R24" s="84"/>
      <c r="S24" s="84"/>
      <c r="T24" s="84"/>
      <c r="U24" s="84"/>
      <c r="V24" s="84"/>
      <c r="W24" s="84"/>
    </row>
    <row r="25" spans="1:23" ht="15" customHeight="1" thickTop="1" thickBot="1" x14ac:dyDescent="0.3">
      <c r="A25" s="99"/>
      <c r="B25" s="99"/>
      <c r="D25" s="97"/>
      <c r="E25" s="18" t="s">
        <v>78</v>
      </c>
      <c r="F25" s="19">
        <f>NPW!F25</f>
        <v>-4358636363.6363668</v>
      </c>
      <c r="G25" s="69"/>
      <c r="H25" s="35">
        <f>-FV(TakeAway!I16,8,,F25,0)</f>
        <v>-9343124135.9500122</v>
      </c>
      <c r="I25" s="69"/>
      <c r="J25" s="102"/>
      <c r="K25" s="101"/>
      <c r="L25" s="74"/>
      <c r="O25" s="23"/>
      <c r="P25" s="84"/>
      <c r="Q25" s="84"/>
      <c r="R25" s="84"/>
      <c r="S25" s="84"/>
      <c r="T25" s="84"/>
      <c r="U25" s="84"/>
      <c r="V25" s="84"/>
      <c r="W25" s="84"/>
    </row>
    <row r="26" spans="1:23" ht="15" customHeight="1" thickTop="1" thickBot="1" x14ac:dyDescent="0.3">
      <c r="A26" s="99"/>
      <c r="B26" s="99"/>
      <c r="D26" s="97"/>
      <c r="E26" s="18" t="s">
        <v>79</v>
      </c>
      <c r="F26" s="19">
        <f>NPW!F26</f>
        <v>-4794500000.0000038</v>
      </c>
      <c r="G26" s="69"/>
      <c r="H26" s="35">
        <f>-FV(TakeAway!I16,7,,F26,0)</f>
        <v>-9343124135.9500141</v>
      </c>
      <c r="I26" s="69"/>
      <c r="J26" s="102"/>
      <c r="K26" s="101"/>
      <c r="L26" s="74"/>
      <c r="O26" s="23"/>
      <c r="P26" s="84"/>
      <c r="Q26" s="84"/>
      <c r="R26" s="84"/>
      <c r="S26" s="84"/>
      <c r="T26" s="84"/>
      <c r="U26" s="84"/>
      <c r="V26" s="84"/>
      <c r="W26" s="84"/>
    </row>
    <row r="27" spans="1:23" ht="15" customHeight="1" thickTop="1" thickBot="1" x14ac:dyDescent="0.3">
      <c r="A27" s="99"/>
      <c r="B27" s="99"/>
      <c r="D27" s="97"/>
      <c r="E27" s="18" t="s">
        <v>80</v>
      </c>
      <c r="F27" s="19">
        <f>NPW!F27</f>
        <v>-5230363636.3636398</v>
      </c>
      <c r="G27" s="69"/>
      <c r="H27" s="35">
        <f>-FV(TakeAway!I16,6,,F27,0)</f>
        <v>-9265908234.0000095</v>
      </c>
      <c r="I27" s="69"/>
      <c r="J27" s="102"/>
      <c r="K27" s="101"/>
      <c r="L27" s="74"/>
      <c r="M27" s="86" t="s">
        <v>98</v>
      </c>
      <c r="N27" s="103">
        <f>K24+K36</f>
        <v>58836114287.259003</v>
      </c>
      <c r="O27" s="104"/>
      <c r="P27" s="84"/>
      <c r="Q27" s="84"/>
      <c r="R27" s="84"/>
      <c r="S27" s="84"/>
      <c r="T27" s="84"/>
      <c r="U27" s="84"/>
      <c r="V27" s="84"/>
      <c r="W27" s="84"/>
    </row>
    <row r="28" spans="1:23" ht="15" customHeight="1" thickTop="1" thickBot="1" x14ac:dyDescent="0.3">
      <c r="A28" s="99"/>
      <c r="B28" s="99"/>
      <c r="D28" s="97"/>
      <c r="E28" s="18" t="s">
        <v>81</v>
      </c>
      <c r="F28" s="19">
        <f>NPW!F28</f>
        <v>-5666227272.7272778</v>
      </c>
      <c r="G28" s="69"/>
      <c r="H28" s="35">
        <f>-FV(TakeAway!I16,5,,F28,0)</f>
        <v>-9125515685.0000114</v>
      </c>
      <c r="I28" s="69"/>
      <c r="J28" s="102"/>
      <c r="K28" s="101"/>
      <c r="L28" s="74"/>
      <c r="M28" s="86"/>
      <c r="N28" s="104"/>
      <c r="O28" s="104"/>
      <c r="P28" s="84"/>
      <c r="Q28" s="84"/>
      <c r="R28" s="84"/>
      <c r="S28" s="84"/>
      <c r="T28" s="84"/>
      <c r="U28" s="84"/>
      <c r="V28" s="84"/>
      <c r="W28" s="84"/>
    </row>
    <row r="29" spans="1:23" ht="15" customHeight="1" thickTop="1" thickBot="1" x14ac:dyDescent="0.3">
      <c r="A29" s="99"/>
      <c r="B29" s="99"/>
      <c r="D29" s="97"/>
      <c r="E29" s="18" t="s">
        <v>82</v>
      </c>
      <c r="F29" s="19">
        <f>NPW!F29</f>
        <v>-6102090909.0909138</v>
      </c>
      <c r="G29" s="69"/>
      <c r="H29" s="35">
        <f>-FV(TakeAway!I16,4,,F29,0)</f>
        <v>-8934071300.0000095</v>
      </c>
      <c r="I29" s="69"/>
      <c r="J29" s="102"/>
      <c r="K29" s="101"/>
      <c r="L29" s="74"/>
      <c r="M29" s="86"/>
      <c r="N29" s="104"/>
      <c r="O29" s="104"/>
      <c r="P29" s="84"/>
      <c r="Q29" s="84"/>
      <c r="R29" s="84"/>
      <c r="S29" s="84"/>
      <c r="T29" s="84"/>
      <c r="U29" s="84"/>
      <c r="V29" s="84"/>
      <c r="W29" s="84"/>
    </row>
    <row r="30" spans="1:23" ht="15" customHeight="1" thickTop="1" thickBot="1" x14ac:dyDescent="0.3">
      <c r="A30" s="99"/>
      <c r="B30" s="99"/>
      <c r="D30" s="97"/>
      <c r="E30" s="18" t="s">
        <v>83</v>
      </c>
      <c r="F30" s="19">
        <f>NPW!F30</f>
        <v>-6537954545.4545507</v>
      </c>
      <c r="G30" s="69"/>
      <c r="H30" s="35">
        <f>-FV(TakeAway!I16,3,,F30,0)</f>
        <v>-8702017500.0000095</v>
      </c>
      <c r="I30" s="69"/>
      <c r="J30" s="102"/>
      <c r="K30" s="101"/>
      <c r="L30" s="74"/>
      <c r="M30" s="86"/>
      <c r="N30" s="104"/>
      <c r="O30" s="104"/>
      <c r="P30" s="84"/>
      <c r="Q30" s="84"/>
      <c r="R30" s="84"/>
      <c r="S30" s="84"/>
      <c r="T30" s="84"/>
      <c r="U30" s="84"/>
      <c r="V30" s="84"/>
      <c r="W30" s="84"/>
    </row>
    <row r="31" spans="1:23" ht="15" customHeight="1" thickTop="1" thickBot="1" x14ac:dyDescent="0.3">
      <c r="A31" s="99"/>
      <c r="B31" s="99"/>
      <c r="D31" s="97"/>
      <c r="E31" s="18" t="s">
        <v>84</v>
      </c>
      <c r="F31" s="19">
        <f>NPW!F31</f>
        <v>-6973818181.8181877</v>
      </c>
      <c r="G31" s="69"/>
      <c r="H31" s="35">
        <f>-FV(TakeAway!I16,2,,F31,0)</f>
        <v>-8438320000.0000086</v>
      </c>
      <c r="I31" s="69"/>
      <c r="J31" s="102"/>
      <c r="K31" s="101"/>
      <c r="L31" s="74"/>
      <c r="M31" s="86"/>
      <c r="N31" s="104"/>
      <c r="O31" s="104"/>
      <c r="P31" s="84"/>
      <c r="Q31" s="84"/>
      <c r="R31" s="84"/>
      <c r="S31" s="84"/>
      <c r="T31" s="84"/>
      <c r="U31" s="84"/>
      <c r="V31" s="84"/>
      <c r="W31" s="84"/>
    </row>
    <row r="32" spans="1:23" ht="15" customHeight="1" thickTop="1" thickBot="1" x14ac:dyDescent="0.3">
      <c r="A32" s="99"/>
      <c r="B32" s="99"/>
      <c r="D32" s="97"/>
      <c r="E32" s="18" t="s">
        <v>85</v>
      </c>
      <c r="F32" s="19">
        <f>NPW!F32</f>
        <v>-7409681818.1818247</v>
      </c>
      <c r="G32" s="70"/>
      <c r="H32" s="35">
        <f>-FV(TakeAway!I16,1,,F32,0)</f>
        <v>-8150650000.0000076</v>
      </c>
      <c r="I32" s="70"/>
      <c r="J32" s="102"/>
      <c r="K32" s="101"/>
      <c r="L32" s="74"/>
      <c r="M32" s="86"/>
      <c r="N32" s="104"/>
      <c r="O32" s="104"/>
      <c r="P32" s="84"/>
      <c r="Q32" s="84"/>
      <c r="R32" s="84"/>
      <c r="S32" s="84"/>
      <c r="T32" s="84"/>
      <c r="U32" s="84"/>
      <c r="V32" s="84"/>
      <c r="W32" s="84"/>
    </row>
    <row r="33" spans="1:23" ht="15" customHeight="1" thickTop="1" thickBot="1" x14ac:dyDescent="0.3">
      <c r="A33" s="99"/>
      <c r="B33" s="99"/>
      <c r="F33" s="16"/>
      <c r="G33" s="23"/>
      <c r="H33" s="25"/>
      <c r="J33" s="23"/>
      <c r="K33" s="23"/>
      <c r="L33" s="74"/>
      <c r="M33" s="86"/>
      <c r="N33" s="104"/>
      <c r="O33" s="104"/>
      <c r="P33" s="84"/>
      <c r="Q33" s="84"/>
      <c r="R33" s="84"/>
      <c r="S33" s="84"/>
      <c r="T33" s="84"/>
      <c r="U33" s="84"/>
      <c r="V33" s="84"/>
      <c r="W33" s="84"/>
    </row>
    <row r="34" spans="1:23" ht="15" customHeight="1" thickTop="1" thickBot="1" x14ac:dyDescent="0.3">
      <c r="A34" s="99"/>
      <c r="B34" s="99"/>
      <c r="F34" s="16"/>
      <c r="G34" s="23"/>
      <c r="H34" s="25"/>
      <c r="J34" s="23"/>
      <c r="K34" s="23"/>
      <c r="L34" s="74"/>
      <c r="M34" s="86"/>
      <c r="N34" s="104"/>
      <c r="O34" s="104"/>
      <c r="P34" s="84"/>
      <c r="Q34" s="84"/>
      <c r="R34" s="84"/>
      <c r="S34" s="84"/>
      <c r="T34" s="84"/>
      <c r="U34" s="84"/>
      <c r="V34" s="84"/>
      <c r="W34" s="84"/>
    </row>
    <row r="35" spans="1:23" ht="15" customHeight="1" thickTop="1" thickBot="1" x14ac:dyDescent="0.3">
      <c r="A35" s="99"/>
      <c r="B35" s="99"/>
      <c r="F35" s="20" t="s">
        <v>90</v>
      </c>
      <c r="G35" s="23"/>
      <c r="H35" s="25"/>
      <c r="J35" s="23"/>
      <c r="K35" s="23"/>
      <c r="L35" s="74"/>
      <c r="M35" s="86"/>
      <c r="N35" s="104"/>
      <c r="O35" s="104"/>
      <c r="P35" s="84"/>
      <c r="Q35" s="84"/>
      <c r="R35" s="84"/>
      <c r="S35" s="84"/>
      <c r="T35" s="84"/>
      <c r="U35" s="84"/>
      <c r="V35" s="84"/>
      <c r="W35" s="84"/>
    </row>
    <row r="36" spans="1:23" ht="15" customHeight="1" thickTop="1" thickBot="1" x14ac:dyDescent="0.3">
      <c r="A36" s="99"/>
      <c r="B36" s="99"/>
      <c r="D36" s="96" t="s">
        <v>87</v>
      </c>
      <c r="E36" s="18" t="s">
        <v>78</v>
      </c>
      <c r="F36" s="22">
        <f>NPW!F36</f>
        <v>8710227272.7272797</v>
      </c>
      <c r="G36" s="68"/>
      <c r="H36" s="34">
        <f>-FV(TakeAway!I16,8,,F36,0)</f>
        <v>18671145714.375023</v>
      </c>
      <c r="I36" s="68"/>
      <c r="J36" s="96" t="s">
        <v>97</v>
      </c>
      <c r="K36" s="100">
        <f>SUM(H36:H43)</f>
        <v>142490205716.25015</v>
      </c>
      <c r="L36" s="74"/>
      <c r="M36" s="86"/>
      <c r="N36" s="104"/>
      <c r="O36" s="104"/>
      <c r="P36" s="84"/>
      <c r="Q36" s="84"/>
      <c r="R36" s="84"/>
      <c r="S36" s="84"/>
      <c r="T36" s="84"/>
      <c r="U36" s="84"/>
      <c r="V36" s="84"/>
      <c r="W36" s="84"/>
    </row>
    <row r="37" spans="1:23" ht="15" customHeight="1" thickTop="1" thickBot="1" x14ac:dyDescent="0.3">
      <c r="A37" s="99"/>
      <c r="B37" s="99"/>
      <c r="D37" s="96"/>
      <c r="E37" s="18" t="s">
        <v>79</v>
      </c>
      <c r="F37" s="22">
        <f>NPW!F37</f>
        <v>9581250000.0000076</v>
      </c>
      <c r="G37" s="69"/>
      <c r="H37" s="34">
        <f>-FV(TakeAway!I16,7,,F37,0)</f>
        <v>18671145714.375027</v>
      </c>
      <c r="I37" s="69"/>
      <c r="J37" s="96"/>
      <c r="K37" s="100"/>
      <c r="L37" s="74"/>
      <c r="M37" s="86"/>
      <c r="N37" s="104"/>
      <c r="O37" s="104"/>
      <c r="P37" s="84"/>
      <c r="Q37" s="84"/>
      <c r="R37" s="84"/>
      <c r="S37" s="84"/>
      <c r="T37" s="84"/>
      <c r="U37" s="84"/>
      <c r="V37" s="84"/>
      <c r="W37" s="84"/>
    </row>
    <row r="38" spans="1:23" ht="15" customHeight="1" thickTop="1" thickBot="1" x14ac:dyDescent="0.3">
      <c r="A38" s="99"/>
      <c r="B38" s="99"/>
      <c r="D38" s="96"/>
      <c r="E38" s="18" t="s">
        <v>80</v>
      </c>
      <c r="F38" s="22">
        <f>NPW!F38</f>
        <v>10452272727.272736</v>
      </c>
      <c r="G38" s="69"/>
      <c r="H38" s="34">
        <f>-FV(TakeAway!I16,6,,F38,0)</f>
        <v>18516838725.000023</v>
      </c>
      <c r="I38" s="69"/>
      <c r="J38" s="96"/>
      <c r="K38" s="100"/>
      <c r="L38" s="74"/>
      <c r="M38" s="86"/>
      <c r="N38" s="104"/>
      <c r="O38" s="104"/>
    </row>
    <row r="39" spans="1:23" ht="15" customHeight="1" thickTop="1" thickBot="1" x14ac:dyDescent="0.3">
      <c r="A39" s="99"/>
      <c r="B39" s="99"/>
      <c r="D39" s="96"/>
      <c r="E39" s="18" t="s">
        <v>81</v>
      </c>
      <c r="F39" s="22">
        <f>NPW!F39</f>
        <v>11323295454.545464</v>
      </c>
      <c r="G39" s="69"/>
      <c r="H39" s="34">
        <f>-FV(TakeAway!I16,5,,F39,0)</f>
        <v>18236280562.500019</v>
      </c>
      <c r="I39" s="69"/>
      <c r="J39" s="96"/>
      <c r="K39" s="100"/>
      <c r="L39" s="74"/>
      <c r="M39" s="86"/>
      <c r="N39" s="104"/>
      <c r="O39" s="104"/>
    </row>
    <row r="40" spans="1:23" ht="15" customHeight="1" thickTop="1" thickBot="1" x14ac:dyDescent="0.3">
      <c r="A40" s="99"/>
      <c r="B40" s="99"/>
      <c r="D40" s="96"/>
      <c r="E40" s="18" t="s">
        <v>82</v>
      </c>
      <c r="F40" s="22">
        <f>NPW!F40</f>
        <v>12194318181.818192</v>
      </c>
      <c r="G40" s="69"/>
      <c r="H40" s="34">
        <f>-FV(TakeAway!I16,4,,F40,0)</f>
        <v>17853701250.000019</v>
      </c>
      <c r="I40" s="69"/>
      <c r="J40" s="96"/>
      <c r="K40" s="100"/>
      <c r="L40" s="74"/>
      <c r="M40" s="86"/>
      <c r="N40" s="104"/>
      <c r="O40" s="104"/>
    </row>
    <row r="41" spans="1:23" ht="15" customHeight="1" thickTop="1" thickBot="1" x14ac:dyDescent="0.3">
      <c r="A41" s="99"/>
      <c r="B41" s="99"/>
      <c r="D41" s="96"/>
      <c r="E41" s="18" t="s">
        <v>83</v>
      </c>
      <c r="F41" s="22">
        <f>NPW!F41</f>
        <v>13065340909.090919</v>
      </c>
      <c r="G41" s="69"/>
      <c r="H41" s="34">
        <f>-FV(TakeAway!I16,3,,F41,0)</f>
        <v>17389968750.000019</v>
      </c>
      <c r="I41" s="69"/>
      <c r="J41" s="96"/>
      <c r="K41" s="100"/>
      <c r="L41" s="74"/>
      <c r="O41" s="23"/>
    </row>
    <row r="42" spans="1:23" ht="15" customHeight="1" thickTop="1" thickBot="1" x14ac:dyDescent="0.3">
      <c r="A42" s="99"/>
      <c r="B42" s="99"/>
      <c r="D42" s="96"/>
      <c r="E42" s="18" t="s">
        <v>84</v>
      </c>
      <c r="F42" s="22">
        <f>NPW!F42</f>
        <v>13936363636.363647</v>
      </c>
      <c r="G42" s="69"/>
      <c r="H42" s="34">
        <f>-FV(TakeAway!I16,2,,F42,0)</f>
        <v>16863000000.000015</v>
      </c>
      <c r="I42" s="69"/>
      <c r="J42" s="96"/>
      <c r="K42" s="100"/>
      <c r="L42" s="74"/>
      <c r="O42" s="23"/>
      <c r="P42" s="23"/>
      <c r="Q42" s="23"/>
      <c r="R42" s="23"/>
      <c r="S42" s="23"/>
      <c r="T42" s="23"/>
      <c r="U42" s="23"/>
      <c r="V42" s="23"/>
    </row>
    <row r="43" spans="1:23" ht="15" customHeight="1" thickTop="1" thickBot="1" x14ac:dyDescent="0.3">
      <c r="A43" s="99"/>
      <c r="B43" s="99"/>
      <c r="D43" s="96"/>
      <c r="E43" s="18" t="s">
        <v>85</v>
      </c>
      <c r="F43" s="22">
        <f>NPW!F43</f>
        <v>14807386363.636375</v>
      </c>
      <c r="G43" s="70"/>
      <c r="H43" s="34">
        <f>-FV(TakeAway!I16,1,,F43,0)</f>
        <v>16288125000.000013</v>
      </c>
      <c r="I43" s="70"/>
      <c r="J43" s="96"/>
      <c r="K43" s="100"/>
      <c r="L43" s="74"/>
      <c r="O43" s="23"/>
      <c r="P43" s="23"/>
      <c r="Q43" s="23"/>
      <c r="R43" s="23"/>
      <c r="S43" s="23"/>
      <c r="T43" s="23"/>
      <c r="U43" s="23"/>
      <c r="V43" s="23"/>
    </row>
    <row r="44" spans="1:23" ht="15.75" thickTop="1" x14ac:dyDescent="0.25"/>
  </sheetData>
  <mergeCells count="28">
    <mergeCell ref="K36:K43"/>
    <mergeCell ref="I14:I21"/>
    <mergeCell ref="I24:I32"/>
    <mergeCell ref="I36:I43"/>
    <mergeCell ref="D36:D43"/>
    <mergeCell ref="G36:G43"/>
    <mergeCell ref="K2:K10"/>
    <mergeCell ref="K24:K32"/>
    <mergeCell ref="K14:K21"/>
    <mergeCell ref="D14:D21"/>
    <mergeCell ref="G14:G21"/>
    <mergeCell ref="J14:J21"/>
    <mergeCell ref="D24:D32"/>
    <mergeCell ref="G24:G32"/>
    <mergeCell ref="A1:B21"/>
    <mergeCell ref="D2:D10"/>
    <mergeCell ref="G2:G10"/>
    <mergeCell ref="J2:J10"/>
    <mergeCell ref="A23:B43"/>
    <mergeCell ref="J24:J32"/>
    <mergeCell ref="I2:I10"/>
    <mergeCell ref="J36:J43"/>
    <mergeCell ref="P8:W37"/>
    <mergeCell ref="N5:O18"/>
    <mergeCell ref="N27:O40"/>
    <mergeCell ref="L1:L43"/>
    <mergeCell ref="M27:M40"/>
    <mergeCell ref="M5:M18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0CAB-B050-40B7-ABFB-A583DABE2A03}">
  <dimension ref="A1:W44"/>
  <sheetViews>
    <sheetView zoomScaleNormal="100" workbookViewId="0">
      <selection activeCell="H10" sqref="H2:H10"/>
    </sheetView>
  </sheetViews>
  <sheetFormatPr defaultRowHeight="15" x14ac:dyDescent="0.25"/>
  <cols>
    <col min="2" max="2" width="11.42578125" customWidth="1"/>
    <col min="6" max="6" width="20" customWidth="1"/>
    <col min="7" max="7" width="3" customWidth="1"/>
    <col min="8" max="8" width="21.28515625" customWidth="1"/>
    <col min="9" max="9" width="2.7109375" customWidth="1"/>
    <col min="10" max="10" width="15.85546875" customWidth="1"/>
    <col min="11" max="11" width="28.42578125" customWidth="1"/>
    <col min="12" max="12" width="3.28515625" customWidth="1"/>
    <col min="13" max="13" width="19.28515625" customWidth="1"/>
    <col min="15" max="15" width="10.42578125" customWidth="1"/>
  </cols>
  <sheetData>
    <row r="1" spans="1:23" ht="16.5" thickTop="1" thickBot="1" x14ac:dyDescent="0.3">
      <c r="A1" s="98" t="s">
        <v>88</v>
      </c>
      <c r="B1" s="98"/>
      <c r="F1" s="24" t="s">
        <v>95</v>
      </c>
      <c r="H1" s="20" t="s">
        <v>99</v>
      </c>
      <c r="J1" s="23"/>
      <c r="K1" s="23"/>
      <c r="L1" s="74"/>
      <c r="M1" s="27"/>
      <c r="O1" s="23"/>
      <c r="P1" s="23"/>
      <c r="Q1" s="23"/>
      <c r="R1" s="23"/>
      <c r="S1" s="23"/>
      <c r="T1" s="23"/>
      <c r="U1" s="23"/>
      <c r="V1" s="23"/>
    </row>
    <row r="2" spans="1:23" ht="15" customHeight="1" thickTop="1" thickBot="1" x14ac:dyDescent="0.3">
      <c r="A2" s="98"/>
      <c r="B2" s="98"/>
      <c r="D2" s="94" t="s">
        <v>76</v>
      </c>
      <c r="E2" s="17" t="s">
        <v>77</v>
      </c>
      <c r="F2" s="19">
        <f>NFW!H2</f>
        <v>-12297770717.841055</v>
      </c>
      <c r="G2" s="74"/>
      <c r="H2" s="35">
        <f>-PMT(FastFood!I16,8,,F2,0)</f>
        <v>-1075366478.7819197</v>
      </c>
      <c r="I2" s="68"/>
      <c r="J2" s="102" t="s">
        <v>101</v>
      </c>
      <c r="K2" s="100">
        <f>SUM(H2:H10)</f>
        <v>-6976421734.8666744</v>
      </c>
      <c r="L2" s="74"/>
      <c r="O2" s="23"/>
      <c r="P2" s="23"/>
      <c r="Q2" s="23"/>
      <c r="R2" s="23"/>
      <c r="S2" s="23"/>
      <c r="T2" s="23"/>
      <c r="U2" s="23"/>
      <c r="V2" s="23"/>
    </row>
    <row r="3" spans="1:23" ht="15" customHeight="1" thickTop="1" thickBot="1" x14ac:dyDescent="0.3">
      <c r="A3" s="98"/>
      <c r="B3" s="98"/>
      <c r="D3" s="94"/>
      <c r="E3" s="17" t="s">
        <v>78</v>
      </c>
      <c r="F3" s="19">
        <f>NFW!H3</f>
        <v>-8842713071.841011</v>
      </c>
      <c r="G3" s="74"/>
      <c r="H3" s="35">
        <f>-PMT(FastFood!I16,8,,F3,0)</f>
        <v>-773242357.26309824</v>
      </c>
      <c r="I3" s="69"/>
      <c r="J3" s="102"/>
      <c r="K3" s="101"/>
      <c r="L3" s="74"/>
      <c r="O3" s="23"/>
      <c r="P3" s="23"/>
      <c r="Q3" s="23"/>
      <c r="R3" s="23"/>
      <c r="S3" s="23"/>
      <c r="T3" s="23"/>
      <c r="U3" s="23"/>
      <c r="V3" s="23"/>
    </row>
    <row r="4" spans="1:23" ht="15" customHeight="1" thickTop="1" thickBot="1" x14ac:dyDescent="0.3">
      <c r="A4" s="98"/>
      <c r="B4" s="98"/>
      <c r="D4" s="94"/>
      <c r="E4" s="17" t="s">
        <v>79</v>
      </c>
      <c r="F4" s="19">
        <f>NFW!H4</f>
        <v>-8842713071.841013</v>
      </c>
      <c r="G4" s="74"/>
      <c r="H4" s="35">
        <f>-PMT(FastFood!I16,8,,F4,0)</f>
        <v>-773242357.26309836</v>
      </c>
      <c r="I4" s="69"/>
      <c r="J4" s="102"/>
      <c r="K4" s="101"/>
      <c r="L4" s="74"/>
      <c r="O4" s="23"/>
      <c r="P4" s="23"/>
      <c r="Q4" s="23"/>
      <c r="R4" s="23"/>
      <c r="S4" s="23"/>
      <c r="T4" s="23"/>
      <c r="U4" s="23"/>
      <c r="V4" s="23"/>
    </row>
    <row r="5" spans="1:23" ht="15" customHeight="1" thickTop="1" thickBot="1" x14ac:dyDescent="0.3">
      <c r="A5" s="98"/>
      <c r="B5" s="98"/>
      <c r="D5" s="94"/>
      <c r="E5" s="17" t="s">
        <v>80</v>
      </c>
      <c r="F5" s="19">
        <f>NFW!H5</f>
        <v>-8769632798.5200119</v>
      </c>
      <c r="G5" s="74"/>
      <c r="H5" s="35">
        <f>-PMT(FastFood!I16,8,,F5,0)</f>
        <v>-766851924.55844462</v>
      </c>
      <c r="I5" s="69"/>
      <c r="J5" s="102"/>
      <c r="K5" s="101"/>
      <c r="L5" s="74"/>
      <c r="M5" s="86" t="s">
        <v>100</v>
      </c>
      <c r="N5" s="103">
        <f>K2+K14</f>
        <v>3752273105.1956539</v>
      </c>
      <c r="O5" s="104"/>
      <c r="P5" s="23"/>
      <c r="Q5" s="23"/>
      <c r="R5" s="23"/>
      <c r="S5" s="23"/>
      <c r="T5" s="23"/>
      <c r="U5" s="23"/>
      <c r="V5" s="23"/>
    </row>
    <row r="6" spans="1:23" ht="15" customHeight="1" thickTop="1" thickBot="1" x14ac:dyDescent="0.3">
      <c r="A6" s="98"/>
      <c r="B6" s="98"/>
      <c r="D6" s="94"/>
      <c r="E6" s="17" t="s">
        <v>81</v>
      </c>
      <c r="F6" s="19">
        <f>NFW!H6</f>
        <v>-8636759574.3000088</v>
      </c>
      <c r="G6" s="74"/>
      <c r="H6" s="35">
        <f>-PMT(FastFood!I16,8,,F6,0)</f>
        <v>-755232956.00452852</v>
      </c>
      <c r="I6" s="69"/>
      <c r="J6" s="102"/>
      <c r="K6" s="101"/>
      <c r="L6" s="74"/>
      <c r="M6" s="86"/>
      <c r="N6" s="104"/>
      <c r="O6" s="104"/>
      <c r="P6" s="23"/>
      <c r="Q6" s="23"/>
      <c r="R6" s="23"/>
      <c r="S6" s="23"/>
      <c r="T6" s="23"/>
      <c r="U6" s="23"/>
      <c r="V6" s="23"/>
    </row>
    <row r="7" spans="1:23" ht="15" customHeight="1" thickTop="1" thickBot="1" x14ac:dyDescent="0.3">
      <c r="A7" s="98"/>
      <c r="B7" s="98"/>
      <c r="D7" s="94"/>
      <c r="E7" s="17" t="s">
        <v>82</v>
      </c>
      <c r="F7" s="19">
        <f>NFW!H7</f>
        <v>-8455568814.0000095</v>
      </c>
      <c r="G7" s="74"/>
      <c r="H7" s="35">
        <f>-PMT(FastFood!I16,8,,F7,0)</f>
        <v>-739388907.97646165</v>
      </c>
      <c r="I7" s="69"/>
      <c r="J7" s="102"/>
      <c r="K7" s="101"/>
      <c r="L7" s="74"/>
      <c r="M7" s="86"/>
      <c r="N7" s="104"/>
      <c r="O7" s="104"/>
      <c r="P7" s="23"/>
      <c r="Q7" s="23"/>
      <c r="R7" s="23"/>
      <c r="S7" s="23"/>
      <c r="T7" s="23"/>
      <c r="U7" s="23"/>
      <c r="V7" s="23"/>
    </row>
    <row r="8" spans="1:23" ht="15" customHeight="1" thickTop="1" thickBot="1" x14ac:dyDescent="0.3">
      <c r="A8" s="98"/>
      <c r="B8" s="98"/>
      <c r="D8" s="94"/>
      <c r="E8" s="17" t="s">
        <v>83</v>
      </c>
      <c r="F8" s="19">
        <f>NFW!H8</f>
        <v>-8235943650.0000095</v>
      </c>
      <c r="G8" s="74"/>
      <c r="H8" s="35">
        <f>-PMT(FastFood!I16,8,,F8,0)</f>
        <v>-720184001.27577424</v>
      </c>
      <c r="I8" s="69"/>
      <c r="J8" s="102"/>
      <c r="K8" s="101"/>
      <c r="L8" s="74"/>
      <c r="M8" s="86"/>
      <c r="N8" s="104"/>
      <c r="O8" s="104"/>
      <c r="P8" s="84" t="s">
        <v>94</v>
      </c>
      <c r="Q8" s="84"/>
      <c r="R8" s="84"/>
      <c r="S8" s="84"/>
      <c r="T8" s="84"/>
      <c r="U8" s="84"/>
      <c r="V8" s="84"/>
      <c r="W8" s="84"/>
    </row>
    <row r="9" spans="1:23" ht="15" customHeight="1" thickTop="1" thickBot="1" x14ac:dyDescent="0.3">
      <c r="A9" s="98"/>
      <c r="B9" s="98"/>
      <c r="D9" s="94"/>
      <c r="E9" s="17" t="s">
        <v>84</v>
      </c>
      <c r="F9" s="19">
        <f>NFW!H9</f>
        <v>-7986369600.0000076</v>
      </c>
      <c r="G9" s="74"/>
      <c r="H9" s="35">
        <f>-PMT(FastFood!I16,8,,F9,0)</f>
        <v>-698360243.66135681</v>
      </c>
      <c r="I9" s="69"/>
      <c r="J9" s="102"/>
      <c r="K9" s="101"/>
      <c r="L9" s="74"/>
      <c r="M9" s="86"/>
      <c r="N9" s="104"/>
      <c r="O9" s="104"/>
      <c r="P9" s="84"/>
      <c r="Q9" s="84"/>
      <c r="R9" s="84"/>
      <c r="S9" s="84"/>
      <c r="T9" s="84"/>
      <c r="U9" s="84"/>
      <c r="V9" s="84"/>
      <c r="W9" s="84"/>
    </row>
    <row r="10" spans="1:23" ht="15" customHeight="1" thickTop="1" thickBot="1" x14ac:dyDescent="0.3">
      <c r="A10" s="98"/>
      <c r="B10" s="98"/>
      <c r="D10" s="94"/>
      <c r="E10" s="17" t="s">
        <v>85</v>
      </c>
      <c r="F10" s="19">
        <f>NFW!H10</f>
        <v>-7714107000.0000067</v>
      </c>
      <c r="G10" s="74"/>
      <c r="H10" s="35">
        <f>-PMT(FastFood!I16,8,,F10,0)</f>
        <v>-674552508.08199227</v>
      </c>
      <c r="I10" s="70"/>
      <c r="J10" s="102"/>
      <c r="K10" s="101"/>
      <c r="L10" s="74"/>
      <c r="M10" s="86"/>
      <c r="N10" s="104"/>
      <c r="O10" s="104"/>
      <c r="P10" s="84"/>
      <c r="Q10" s="84"/>
      <c r="R10" s="84"/>
      <c r="S10" s="84"/>
      <c r="T10" s="84"/>
      <c r="U10" s="84"/>
      <c r="V10" s="84"/>
      <c r="W10" s="84"/>
    </row>
    <row r="11" spans="1:23" ht="15" customHeight="1" thickTop="1" thickBot="1" x14ac:dyDescent="0.3">
      <c r="A11" s="98"/>
      <c r="B11" s="98"/>
      <c r="H11" s="26"/>
      <c r="J11" s="23"/>
      <c r="K11" s="23"/>
      <c r="L11" s="74"/>
      <c r="M11" s="86"/>
      <c r="N11" s="104"/>
      <c r="O11" s="104"/>
      <c r="P11" s="84"/>
      <c r="Q11" s="84"/>
      <c r="R11" s="84"/>
      <c r="S11" s="84"/>
      <c r="T11" s="84"/>
      <c r="U11" s="84"/>
      <c r="V11" s="84"/>
      <c r="W11" s="84"/>
    </row>
    <row r="12" spans="1:23" ht="15" customHeight="1" thickTop="1" thickBot="1" x14ac:dyDescent="0.3">
      <c r="A12" s="98"/>
      <c r="B12" s="98"/>
      <c r="H12" s="26"/>
      <c r="J12" s="23"/>
      <c r="K12" s="23"/>
      <c r="L12" s="74"/>
      <c r="M12" s="86"/>
      <c r="N12" s="104"/>
      <c r="O12" s="104"/>
      <c r="P12" s="84"/>
      <c r="Q12" s="84"/>
      <c r="R12" s="84"/>
      <c r="S12" s="84"/>
      <c r="T12" s="84"/>
      <c r="U12" s="84"/>
      <c r="V12" s="84"/>
      <c r="W12" s="84"/>
    </row>
    <row r="13" spans="1:23" ht="15" customHeight="1" thickTop="1" thickBot="1" x14ac:dyDescent="0.3">
      <c r="A13" s="98"/>
      <c r="B13" s="98"/>
      <c r="H13" s="26"/>
      <c r="J13" s="23"/>
      <c r="K13" s="23"/>
      <c r="L13" s="74"/>
      <c r="M13" s="86"/>
      <c r="N13" s="104"/>
      <c r="O13" s="104"/>
      <c r="P13" s="84"/>
      <c r="Q13" s="84"/>
      <c r="R13" s="84"/>
      <c r="S13" s="84"/>
      <c r="T13" s="84"/>
      <c r="U13" s="84"/>
      <c r="V13" s="84"/>
      <c r="W13" s="84"/>
    </row>
    <row r="14" spans="1:23" ht="15" customHeight="1" thickTop="1" thickBot="1" x14ac:dyDescent="0.3">
      <c r="A14" s="98"/>
      <c r="B14" s="98"/>
      <c r="D14" s="95" t="s">
        <v>87</v>
      </c>
      <c r="E14" s="18" t="s">
        <v>78</v>
      </c>
      <c r="F14" s="22">
        <f>NFW!H14</f>
        <v>16076916075.000023</v>
      </c>
      <c r="G14" s="74"/>
      <c r="H14" s="34">
        <f>-PMT(FastFood!I16,8,,F14,0)</f>
        <v>1405830131.8111036</v>
      </c>
      <c r="I14" s="68"/>
      <c r="J14" s="96" t="s">
        <v>102</v>
      </c>
      <c r="K14" s="100">
        <f>SUM(H14:H21)</f>
        <v>10728694840.062328</v>
      </c>
      <c r="L14" s="74"/>
      <c r="M14" s="86"/>
      <c r="N14" s="104"/>
      <c r="O14" s="104"/>
      <c r="P14" s="84"/>
      <c r="Q14" s="84"/>
      <c r="R14" s="84"/>
      <c r="S14" s="84"/>
      <c r="T14" s="84"/>
      <c r="U14" s="84"/>
      <c r="V14" s="84"/>
      <c r="W14" s="84"/>
    </row>
    <row r="15" spans="1:23" ht="15" customHeight="1" thickTop="1" thickBot="1" x14ac:dyDescent="0.3">
      <c r="A15" s="98"/>
      <c r="B15" s="98"/>
      <c r="D15" s="95"/>
      <c r="E15" s="18" t="s">
        <v>79</v>
      </c>
      <c r="F15" s="22">
        <f>NFW!H15</f>
        <v>16076916075.000023</v>
      </c>
      <c r="G15" s="74"/>
      <c r="H15" s="34">
        <f>-PMT(FastFood!I16,8,,F15,0)</f>
        <v>1405830131.8111036</v>
      </c>
      <c r="I15" s="69"/>
      <c r="J15" s="96"/>
      <c r="K15" s="101"/>
      <c r="L15" s="74"/>
      <c r="M15" s="86"/>
      <c r="N15" s="104"/>
      <c r="O15" s="104"/>
      <c r="P15" s="84"/>
      <c r="Q15" s="84"/>
      <c r="R15" s="84"/>
      <c r="S15" s="84"/>
      <c r="T15" s="84"/>
      <c r="U15" s="84"/>
      <c r="V15" s="84"/>
      <c r="W15" s="84"/>
    </row>
    <row r="16" spans="1:23" ht="15" customHeight="1" thickTop="1" thickBot="1" x14ac:dyDescent="0.3">
      <c r="A16" s="98"/>
      <c r="B16" s="98"/>
      <c r="D16" s="95"/>
      <c r="E16" s="18" t="s">
        <v>80</v>
      </c>
      <c r="F16" s="22">
        <f>NFW!H16</f>
        <v>15944049000.000021</v>
      </c>
      <c r="G16" s="74"/>
      <c r="H16" s="34">
        <f>-PMT(FastFood!I16,8,,F16,0)</f>
        <v>1394211700.9696891</v>
      </c>
      <c r="I16" s="69"/>
      <c r="J16" s="96"/>
      <c r="K16" s="101"/>
      <c r="L16" s="74"/>
      <c r="M16" s="86"/>
      <c r="N16" s="104"/>
      <c r="O16" s="104"/>
      <c r="P16" s="84"/>
      <c r="Q16" s="84"/>
      <c r="R16" s="84"/>
      <c r="S16" s="84"/>
      <c r="T16" s="84"/>
      <c r="U16" s="84"/>
      <c r="V16" s="84"/>
      <c r="W16" s="84"/>
    </row>
    <row r="17" spans="1:23" ht="15" customHeight="1" thickTop="1" thickBot="1" x14ac:dyDescent="0.3">
      <c r="A17" s="98"/>
      <c r="B17" s="98"/>
      <c r="D17" s="95"/>
      <c r="E17" s="18" t="s">
        <v>81</v>
      </c>
      <c r="F17" s="22">
        <f>NFW!H17</f>
        <v>15702472500.000017</v>
      </c>
      <c r="G17" s="74"/>
      <c r="H17" s="34">
        <f>-PMT(FastFood!I16,8,,F17,0)</f>
        <v>1373087281.2580268</v>
      </c>
      <c r="I17" s="69"/>
      <c r="J17" s="96"/>
      <c r="K17" s="101"/>
      <c r="L17" s="74"/>
      <c r="M17" s="86"/>
      <c r="N17" s="104"/>
      <c r="O17" s="104"/>
      <c r="P17" s="84"/>
      <c r="Q17" s="84"/>
      <c r="R17" s="84"/>
      <c r="S17" s="84"/>
      <c r="T17" s="84"/>
      <c r="U17" s="84"/>
      <c r="V17" s="84"/>
      <c r="W17" s="84"/>
    </row>
    <row r="18" spans="1:23" ht="15" customHeight="1" thickTop="1" thickBot="1" x14ac:dyDescent="0.3">
      <c r="A18" s="98"/>
      <c r="B18" s="98"/>
      <c r="D18" s="95"/>
      <c r="E18" s="18" t="s">
        <v>82</v>
      </c>
      <c r="F18" s="22">
        <f>NFW!H18</f>
        <v>15373050000.000015</v>
      </c>
      <c r="G18" s="74"/>
      <c r="H18" s="34">
        <f>-PMT(FastFood!I16,8,,F18,0)</f>
        <v>1344281254.3784878</v>
      </c>
      <c r="I18" s="69"/>
      <c r="J18" s="96"/>
      <c r="K18" s="101"/>
      <c r="L18" s="74"/>
      <c r="M18" s="86"/>
      <c r="N18" s="104"/>
      <c r="O18" s="104"/>
      <c r="P18" s="84"/>
      <c r="Q18" s="84"/>
      <c r="R18" s="84"/>
      <c r="S18" s="84"/>
      <c r="T18" s="84"/>
      <c r="U18" s="84"/>
      <c r="V18" s="84"/>
      <c r="W18" s="84"/>
    </row>
    <row r="19" spans="1:23" ht="15" customHeight="1" thickTop="1" thickBot="1" x14ac:dyDescent="0.3">
      <c r="A19" s="98"/>
      <c r="B19" s="98"/>
      <c r="D19" s="95"/>
      <c r="E19" s="18" t="s">
        <v>83</v>
      </c>
      <c r="F19" s="22">
        <f>NFW!H19</f>
        <v>14973750000.000017</v>
      </c>
      <c r="G19" s="74"/>
      <c r="H19" s="34">
        <f>-PMT(FastFood!I16,8,,F19,0)</f>
        <v>1309364858.1608648</v>
      </c>
      <c r="I19" s="69"/>
      <c r="J19" s="96"/>
      <c r="K19" s="101"/>
      <c r="L19" s="74"/>
      <c r="O19" s="23"/>
      <c r="P19" s="84"/>
      <c r="Q19" s="84"/>
      <c r="R19" s="84"/>
      <c r="S19" s="84"/>
      <c r="T19" s="84"/>
      <c r="U19" s="84"/>
      <c r="V19" s="84"/>
      <c r="W19" s="84"/>
    </row>
    <row r="20" spans="1:23" ht="15" customHeight="1" thickTop="1" thickBot="1" x14ac:dyDescent="0.3">
      <c r="A20" s="98"/>
      <c r="B20" s="98"/>
      <c r="D20" s="95"/>
      <c r="E20" s="18" t="s">
        <v>84</v>
      </c>
      <c r="F20" s="22">
        <f>NFW!H20</f>
        <v>14520000000.000013</v>
      </c>
      <c r="G20" s="74"/>
      <c r="H20" s="34">
        <f>-PMT(FastFood!I16,8,,F20,0)</f>
        <v>1269687135.1862929</v>
      </c>
      <c r="I20" s="69"/>
      <c r="J20" s="96"/>
      <c r="K20" s="101"/>
      <c r="L20" s="74"/>
      <c r="O20" s="23"/>
      <c r="P20" s="84"/>
      <c r="Q20" s="84"/>
      <c r="R20" s="84"/>
      <c r="S20" s="84"/>
      <c r="T20" s="84"/>
      <c r="U20" s="84"/>
      <c r="V20" s="84"/>
      <c r="W20" s="84"/>
    </row>
    <row r="21" spans="1:23" ht="15" customHeight="1" thickTop="1" thickBot="1" x14ac:dyDescent="0.3">
      <c r="A21" s="98"/>
      <c r="B21" s="98"/>
      <c r="D21" s="95"/>
      <c r="E21" s="18" t="s">
        <v>85</v>
      </c>
      <c r="F21" s="22">
        <f>NFW!H21</f>
        <v>14025000000.000013</v>
      </c>
      <c r="G21" s="74"/>
      <c r="H21" s="34">
        <f>-PMT(FastFood!I16,8,,F21,0)</f>
        <v>1226402346.4867601</v>
      </c>
      <c r="I21" s="70"/>
      <c r="J21" s="96"/>
      <c r="K21" s="101"/>
      <c r="L21" s="74"/>
      <c r="O21" s="23"/>
      <c r="P21" s="84"/>
      <c r="Q21" s="84"/>
      <c r="R21" s="84"/>
      <c r="S21" s="84"/>
      <c r="T21" s="84"/>
      <c r="U21" s="84"/>
      <c r="V21" s="84"/>
      <c r="W21" s="84"/>
    </row>
    <row r="22" spans="1:23" ht="16.5" customHeight="1" thickTop="1" thickBot="1" x14ac:dyDescent="0.3">
      <c r="H22" s="26"/>
      <c r="J22" s="23"/>
      <c r="K22" s="23"/>
      <c r="L22" s="74"/>
      <c r="O22" s="23"/>
      <c r="P22" s="84"/>
      <c r="Q22" s="84"/>
      <c r="R22" s="84"/>
      <c r="S22" s="84"/>
      <c r="T22" s="84"/>
      <c r="U22" s="84"/>
      <c r="V22" s="84"/>
      <c r="W22" s="84"/>
    </row>
    <row r="23" spans="1:23" ht="16.5" customHeight="1" thickTop="1" thickBot="1" x14ac:dyDescent="0.3">
      <c r="A23" s="99" t="s">
        <v>89</v>
      </c>
      <c r="B23" s="99"/>
      <c r="H23" s="26"/>
      <c r="J23" s="23"/>
      <c r="K23" s="23"/>
      <c r="L23" s="74"/>
      <c r="O23" s="23"/>
      <c r="P23" s="84"/>
      <c r="Q23" s="84"/>
      <c r="R23" s="84"/>
      <c r="S23" s="84"/>
      <c r="T23" s="84"/>
      <c r="U23" s="84"/>
      <c r="V23" s="84"/>
      <c r="W23" s="84"/>
    </row>
    <row r="24" spans="1:23" ht="15" customHeight="1" thickTop="1" thickBot="1" x14ac:dyDescent="0.3">
      <c r="A24" s="99"/>
      <c r="B24" s="99"/>
      <c r="D24" s="97" t="s">
        <v>76</v>
      </c>
      <c r="E24" s="18" t="s">
        <v>77</v>
      </c>
      <c r="F24" s="19">
        <f>NFW!H24</f>
        <v>-12351360438.091055</v>
      </c>
      <c r="G24" s="68"/>
      <c r="H24" s="35">
        <f>-PMT(FastFood!I16,8,,F24,0)</f>
        <v>-1080052579.2212901</v>
      </c>
      <c r="I24" s="68"/>
      <c r="J24" s="102" t="s">
        <v>101</v>
      </c>
      <c r="K24" s="100">
        <f>SUM(H24:H32)</f>
        <v>-7315049841.1217546</v>
      </c>
      <c r="L24" s="74"/>
      <c r="O24" s="23"/>
      <c r="P24" s="84"/>
      <c r="Q24" s="84"/>
      <c r="R24" s="84"/>
      <c r="S24" s="84"/>
      <c r="T24" s="84"/>
      <c r="U24" s="84"/>
      <c r="V24" s="84"/>
      <c r="W24" s="84"/>
    </row>
    <row r="25" spans="1:23" ht="15" customHeight="1" thickTop="1" thickBot="1" x14ac:dyDescent="0.3">
      <c r="A25" s="99"/>
      <c r="B25" s="99"/>
      <c r="D25" s="97"/>
      <c r="E25" s="18" t="s">
        <v>78</v>
      </c>
      <c r="F25" s="19">
        <f>NFW!H25</f>
        <v>-9343124135.9500122</v>
      </c>
      <c r="G25" s="69"/>
      <c r="H25" s="35">
        <f>-PMT(FastFood!I16,8,,F25,0)</f>
        <v>-817000311.14767694</v>
      </c>
      <c r="I25" s="69"/>
      <c r="J25" s="102"/>
      <c r="K25" s="101"/>
      <c r="L25" s="74"/>
      <c r="O25" s="23"/>
      <c r="P25" s="84"/>
      <c r="Q25" s="84"/>
      <c r="R25" s="84"/>
      <c r="S25" s="84"/>
      <c r="T25" s="84"/>
      <c r="U25" s="84"/>
      <c r="V25" s="84"/>
      <c r="W25" s="84"/>
    </row>
    <row r="26" spans="1:23" ht="15" customHeight="1" thickTop="1" thickBot="1" x14ac:dyDescent="0.3">
      <c r="A26" s="99"/>
      <c r="B26" s="99"/>
      <c r="D26" s="97"/>
      <c r="E26" s="18" t="s">
        <v>79</v>
      </c>
      <c r="F26" s="19">
        <f>NFW!H26</f>
        <v>-9343124135.9500141</v>
      </c>
      <c r="G26" s="69"/>
      <c r="H26" s="35">
        <f>-PMT(FastFood!I16,8,,F26,0)</f>
        <v>-817000311.14767706</v>
      </c>
      <c r="I26" s="69"/>
      <c r="J26" s="102"/>
      <c r="K26" s="101"/>
      <c r="L26" s="74"/>
      <c r="O26" s="23"/>
      <c r="P26" s="84"/>
      <c r="Q26" s="84"/>
      <c r="R26" s="84"/>
      <c r="S26" s="84"/>
      <c r="T26" s="84"/>
      <c r="U26" s="84"/>
      <c r="V26" s="84"/>
      <c r="W26" s="84"/>
    </row>
    <row r="27" spans="1:23" ht="15" customHeight="1" thickTop="1" thickBot="1" x14ac:dyDescent="0.3">
      <c r="A27" s="99"/>
      <c r="B27" s="99"/>
      <c r="D27" s="97"/>
      <c r="E27" s="18" t="s">
        <v>80</v>
      </c>
      <c r="F27" s="19">
        <f>NFW!H27</f>
        <v>-9265908234.0000095</v>
      </c>
      <c r="G27" s="69"/>
      <c r="H27" s="35">
        <f>-PMT(FastFood!I16,8,,F27,0)</f>
        <v>-810248242.46050596</v>
      </c>
      <c r="I27" s="69"/>
      <c r="J27" s="102"/>
      <c r="K27" s="101"/>
      <c r="L27" s="74"/>
      <c r="M27" s="86" t="s">
        <v>100</v>
      </c>
      <c r="N27" s="103">
        <f>K24+K36</f>
        <v>5144866211.7688112</v>
      </c>
      <c r="O27" s="104"/>
      <c r="P27" s="84"/>
      <c r="Q27" s="84"/>
      <c r="R27" s="84"/>
      <c r="S27" s="84"/>
      <c r="T27" s="84"/>
      <c r="U27" s="84"/>
      <c r="V27" s="84"/>
      <c r="W27" s="84"/>
    </row>
    <row r="28" spans="1:23" ht="15" customHeight="1" thickTop="1" thickBot="1" x14ac:dyDescent="0.3">
      <c r="A28" s="99"/>
      <c r="B28" s="99"/>
      <c r="D28" s="97"/>
      <c r="E28" s="18" t="s">
        <v>81</v>
      </c>
      <c r="F28" s="19">
        <f>NFW!H28</f>
        <v>-9125515685.0000114</v>
      </c>
      <c r="G28" s="69"/>
      <c r="H28" s="35">
        <f>-PMT(FastFood!I16,8,,F28,0)</f>
        <v>-797971753.93837702</v>
      </c>
      <c r="I28" s="69"/>
      <c r="J28" s="102"/>
      <c r="K28" s="101"/>
      <c r="L28" s="74"/>
      <c r="M28" s="86"/>
      <c r="N28" s="104"/>
      <c r="O28" s="104"/>
      <c r="P28" s="84"/>
      <c r="Q28" s="84"/>
      <c r="R28" s="84"/>
      <c r="S28" s="84"/>
      <c r="T28" s="84"/>
      <c r="U28" s="84"/>
      <c r="V28" s="84"/>
      <c r="W28" s="84"/>
    </row>
    <row r="29" spans="1:23" ht="15" customHeight="1" thickTop="1" thickBot="1" x14ac:dyDescent="0.3">
      <c r="A29" s="99"/>
      <c r="B29" s="99"/>
      <c r="D29" s="97"/>
      <c r="E29" s="18" t="s">
        <v>82</v>
      </c>
      <c r="F29" s="19">
        <f>NFW!H29</f>
        <v>-8934071300.0000095</v>
      </c>
      <c r="G29" s="69"/>
      <c r="H29" s="35">
        <f>-PMT(FastFood!I16,8,,F29,0)</f>
        <v>-781231087.77183747</v>
      </c>
      <c r="I29" s="69"/>
      <c r="J29" s="102"/>
      <c r="K29" s="101"/>
      <c r="L29" s="74"/>
      <c r="M29" s="86"/>
      <c r="N29" s="104"/>
      <c r="O29" s="104"/>
      <c r="P29" s="84"/>
      <c r="Q29" s="84"/>
      <c r="R29" s="84"/>
      <c r="S29" s="84"/>
      <c r="T29" s="84"/>
      <c r="U29" s="84"/>
      <c r="V29" s="84"/>
      <c r="W29" s="84"/>
    </row>
    <row r="30" spans="1:23" ht="15" customHeight="1" thickTop="1" thickBot="1" x14ac:dyDescent="0.3">
      <c r="A30" s="99"/>
      <c r="B30" s="99"/>
      <c r="D30" s="97"/>
      <c r="E30" s="18" t="s">
        <v>83</v>
      </c>
      <c r="F30" s="19">
        <f>NFW!H30</f>
        <v>-8702017500.0000095</v>
      </c>
      <c r="G30" s="69"/>
      <c r="H30" s="35">
        <f>-PMT(FastFood!I16,8,,F30,0)</f>
        <v>-760939371.20633531</v>
      </c>
      <c r="I30" s="69"/>
      <c r="J30" s="102"/>
      <c r="K30" s="101"/>
      <c r="L30" s="74"/>
      <c r="M30" s="86"/>
      <c r="N30" s="104"/>
      <c r="O30" s="104"/>
      <c r="P30" s="84"/>
      <c r="Q30" s="84"/>
      <c r="R30" s="84"/>
      <c r="S30" s="84"/>
      <c r="T30" s="84"/>
      <c r="U30" s="84"/>
      <c r="V30" s="84"/>
      <c r="W30" s="84"/>
    </row>
    <row r="31" spans="1:23" ht="15" customHeight="1" thickTop="1" thickBot="1" x14ac:dyDescent="0.3">
      <c r="A31" s="99"/>
      <c r="B31" s="99"/>
      <c r="D31" s="97"/>
      <c r="E31" s="18" t="s">
        <v>84</v>
      </c>
      <c r="F31" s="19">
        <f>NFW!H31</f>
        <v>-8438320000.0000086</v>
      </c>
      <c r="G31" s="69"/>
      <c r="H31" s="35">
        <f>-PMT(FastFood!I16,8,,F31,0)</f>
        <v>-737880602.38190079</v>
      </c>
      <c r="I31" s="69"/>
      <c r="J31" s="102"/>
      <c r="K31" s="101"/>
      <c r="L31" s="74"/>
      <c r="M31" s="86"/>
      <c r="N31" s="104"/>
      <c r="O31" s="104"/>
      <c r="P31" s="84"/>
      <c r="Q31" s="84"/>
      <c r="R31" s="84"/>
      <c r="S31" s="84"/>
      <c r="T31" s="84"/>
      <c r="U31" s="84"/>
      <c r="V31" s="84"/>
      <c r="W31" s="84"/>
    </row>
    <row r="32" spans="1:23" ht="15" customHeight="1" thickTop="1" thickBot="1" x14ac:dyDescent="0.3">
      <c r="A32" s="99"/>
      <c r="B32" s="99"/>
      <c r="D32" s="97"/>
      <c r="E32" s="18" t="s">
        <v>85</v>
      </c>
      <c r="F32" s="19">
        <f>NFW!H32</f>
        <v>-8150650000.0000076</v>
      </c>
      <c r="G32" s="70"/>
      <c r="H32" s="35">
        <f>-PMT(FastFood!I16,8,,F32,0)</f>
        <v>-712725581.84615409</v>
      </c>
      <c r="I32" s="70"/>
      <c r="J32" s="102"/>
      <c r="K32" s="101"/>
      <c r="L32" s="74"/>
      <c r="M32" s="86"/>
      <c r="N32" s="104"/>
      <c r="O32" s="104"/>
      <c r="P32" s="84"/>
      <c r="Q32" s="84"/>
      <c r="R32" s="84"/>
      <c r="S32" s="84"/>
      <c r="T32" s="84"/>
      <c r="U32" s="84"/>
      <c r="V32" s="84"/>
      <c r="W32" s="84"/>
    </row>
    <row r="33" spans="1:23" ht="15" customHeight="1" thickTop="1" thickBot="1" x14ac:dyDescent="0.3">
      <c r="A33" s="99"/>
      <c r="B33" s="99"/>
      <c r="H33" s="26"/>
      <c r="J33" s="23"/>
      <c r="K33" s="23"/>
      <c r="L33" s="74"/>
      <c r="M33" s="86"/>
      <c r="N33" s="104"/>
      <c r="O33" s="104"/>
      <c r="P33" s="84"/>
      <c r="Q33" s="84"/>
      <c r="R33" s="84"/>
      <c r="S33" s="84"/>
      <c r="T33" s="84"/>
      <c r="U33" s="84"/>
      <c r="V33" s="84"/>
      <c r="W33" s="84"/>
    </row>
    <row r="34" spans="1:23" ht="15" customHeight="1" thickTop="1" thickBot="1" x14ac:dyDescent="0.3">
      <c r="A34" s="99"/>
      <c r="B34" s="99"/>
      <c r="H34" s="26"/>
      <c r="J34" s="23"/>
      <c r="K34" s="23"/>
      <c r="L34" s="74"/>
      <c r="M34" s="86"/>
      <c r="N34" s="104"/>
      <c r="O34" s="104"/>
      <c r="P34" s="84"/>
      <c r="Q34" s="84"/>
      <c r="R34" s="84"/>
      <c r="S34" s="84"/>
      <c r="T34" s="84"/>
      <c r="U34" s="84"/>
      <c r="V34" s="84"/>
      <c r="W34" s="84"/>
    </row>
    <row r="35" spans="1:23" ht="15" customHeight="1" thickTop="1" thickBot="1" x14ac:dyDescent="0.3">
      <c r="A35" s="99"/>
      <c r="B35" s="99"/>
      <c r="H35" s="26"/>
      <c r="J35" s="23"/>
      <c r="K35" s="23"/>
      <c r="L35" s="74"/>
      <c r="M35" s="86"/>
      <c r="N35" s="104"/>
      <c r="O35" s="104"/>
      <c r="P35" s="84"/>
      <c r="Q35" s="84"/>
      <c r="R35" s="84"/>
      <c r="S35" s="84"/>
      <c r="T35" s="84"/>
      <c r="U35" s="84"/>
      <c r="V35" s="84"/>
      <c r="W35" s="84"/>
    </row>
    <row r="36" spans="1:23" ht="15" customHeight="1" thickTop="1" thickBot="1" x14ac:dyDescent="0.3">
      <c r="A36" s="99"/>
      <c r="B36" s="99"/>
      <c r="D36" s="96" t="s">
        <v>87</v>
      </c>
      <c r="E36" s="18" t="s">
        <v>78</v>
      </c>
      <c r="F36" s="22">
        <f>NFW!H36</f>
        <v>18671145714.375023</v>
      </c>
      <c r="G36" s="68"/>
      <c r="H36" s="34">
        <f>-PMT(FastFood!I16,8,,F36,0)</f>
        <v>1632679993.9897127</v>
      </c>
      <c r="I36" s="68"/>
      <c r="J36" s="96" t="s">
        <v>102</v>
      </c>
      <c r="K36" s="100">
        <f>SUM(H36:H43)</f>
        <v>12459916052.890566</v>
      </c>
      <c r="L36" s="74"/>
      <c r="M36" s="86"/>
      <c r="N36" s="104"/>
      <c r="O36" s="104"/>
      <c r="P36" s="84"/>
      <c r="Q36" s="84"/>
      <c r="R36" s="84"/>
      <c r="S36" s="84"/>
      <c r="T36" s="84"/>
      <c r="U36" s="84"/>
      <c r="V36" s="84"/>
      <c r="W36" s="84"/>
    </row>
    <row r="37" spans="1:23" ht="15" customHeight="1" thickTop="1" thickBot="1" x14ac:dyDescent="0.3">
      <c r="A37" s="99"/>
      <c r="B37" s="99"/>
      <c r="D37" s="96"/>
      <c r="E37" s="18" t="s">
        <v>79</v>
      </c>
      <c r="F37" s="22">
        <f>NFW!H37</f>
        <v>18671145714.375027</v>
      </c>
      <c r="G37" s="69"/>
      <c r="H37" s="34">
        <f>-PMT(FastFood!I16,8,,F37,0)</f>
        <v>1632679993.989713</v>
      </c>
      <c r="I37" s="69"/>
      <c r="J37" s="96"/>
      <c r="K37" s="101"/>
      <c r="L37" s="74"/>
      <c r="M37" s="86"/>
      <c r="N37" s="104"/>
      <c r="O37" s="104"/>
      <c r="P37" s="84"/>
      <c r="Q37" s="84"/>
      <c r="R37" s="84"/>
      <c r="S37" s="84"/>
      <c r="T37" s="84"/>
      <c r="U37" s="84"/>
      <c r="V37" s="84"/>
      <c r="W37" s="84"/>
    </row>
    <row r="38" spans="1:23" ht="15" customHeight="1" thickTop="1" thickBot="1" x14ac:dyDescent="0.3">
      <c r="A38" s="99"/>
      <c r="B38" s="99"/>
      <c r="D38" s="96"/>
      <c r="E38" s="18" t="s">
        <v>80</v>
      </c>
      <c r="F38" s="22">
        <f>NFW!H38</f>
        <v>18516838725.000023</v>
      </c>
      <c r="G38" s="69"/>
      <c r="H38" s="34">
        <f>-PMT(FastFood!I16,8,,F38,0)</f>
        <v>1619186770.8988886</v>
      </c>
      <c r="I38" s="69"/>
      <c r="J38" s="96"/>
      <c r="K38" s="101"/>
      <c r="L38" s="74"/>
      <c r="M38" s="86"/>
      <c r="N38" s="104"/>
      <c r="O38" s="104"/>
    </row>
    <row r="39" spans="1:23" ht="15" customHeight="1" thickTop="1" thickBot="1" x14ac:dyDescent="0.3">
      <c r="A39" s="99"/>
      <c r="B39" s="99"/>
      <c r="D39" s="96"/>
      <c r="E39" s="18" t="s">
        <v>81</v>
      </c>
      <c r="F39" s="22">
        <f>NFW!H39</f>
        <v>18236280562.500019</v>
      </c>
      <c r="G39" s="69"/>
      <c r="H39" s="34">
        <f>-PMT(FastFood!I16,8,,F39,0)</f>
        <v>1594653638.0064812</v>
      </c>
      <c r="I39" s="69"/>
      <c r="J39" s="96"/>
      <c r="K39" s="101"/>
      <c r="L39" s="74"/>
      <c r="M39" s="86"/>
      <c r="N39" s="104"/>
      <c r="O39" s="104"/>
    </row>
    <row r="40" spans="1:23" ht="15" customHeight="1" thickTop="1" thickBot="1" x14ac:dyDescent="0.3">
      <c r="A40" s="99"/>
      <c r="B40" s="99"/>
      <c r="D40" s="96"/>
      <c r="E40" s="18" t="s">
        <v>82</v>
      </c>
      <c r="F40" s="22">
        <f>NFW!H40</f>
        <v>17853701250.000019</v>
      </c>
      <c r="G40" s="69"/>
      <c r="H40" s="34">
        <f>-PMT(FastFood!I16,8,,F40,0)</f>
        <v>1561199365.8804712</v>
      </c>
      <c r="I40" s="69"/>
      <c r="J40" s="96"/>
      <c r="K40" s="101"/>
      <c r="L40" s="74"/>
      <c r="M40" s="86"/>
      <c r="N40" s="104"/>
      <c r="O40" s="104"/>
    </row>
    <row r="41" spans="1:23" ht="15" customHeight="1" thickTop="1" thickBot="1" x14ac:dyDescent="0.3">
      <c r="A41" s="99"/>
      <c r="B41" s="99"/>
      <c r="D41" s="96"/>
      <c r="E41" s="18" t="s">
        <v>83</v>
      </c>
      <c r="F41" s="22">
        <f>NFW!H41</f>
        <v>17389968750.000019</v>
      </c>
      <c r="G41" s="69"/>
      <c r="H41" s="34">
        <f>-PMT(FastFood!I16,8,,F41,0)</f>
        <v>1520648733.000459</v>
      </c>
      <c r="I41" s="69"/>
      <c r="J41" s="96"/>
      <c r="K41" s="101"/>
      <c r="L41" s="74"/>
      <c r="O41" s="23"/>
    </row>
    <row r="42" spans="1:23" ht="15" customHeight="1" thickTop="1" thickBot="1" x14ac:dyDescent="0.3">
      <c r="A42" s="99"/>
      <c r="B42" s="99"/>
      <c r="D42" s="96"/>
      <c r="E42" s="18" t="s">
        <v>84</v>
      </c>
      <c r="F42" s="22">
        <f>NFW!H42</f>
        <v>16863000000.000015</v>
      </c>
      <c r="G42" s="69"/>
      <c r="H42" s="34">
        <f>-PMT(FastFood!I16,8,,F42,0)</f>
        <v>1474568468.3640809</v>
      </c>
      <c r="I42" s="69"/>
      <c r="J42" s="96"/>
      <c r="K42" s="101"/>
      <c r="L42" s="74"/>
      <c r="O42" s="23"/>
      <c r="P42" s="23"/>
      <c r="Q42" s="23"/>
      <c r="R42" s="23"/>
      <c r="S42" s="23"/>
      <c r="T42" s="23"/>
      <c r="U42" s="23"/>
      <c r="V42" s="23"/>
    </row>
    <row r="43" spans="1:23" ht="15" customHeight="1" thickTop="1" thickBot="1" x14ac:dyDescent="0.3">
      <c r="A43" s="99"/>
      <c r="B43" s="99"/>
      <c r="D43" s="96"/>
      <c r="E43" s="18" t="s">
        <v>85</v>
      </c>
      <c r="F43" s="22">
        <f>NFW!H43</f>
        <v>16288125000.000013</v>
      </c>
      <c r="G43" s="70"/>
      <c r="H43" s="34">
        <f>-PMT(FastFood!I16,8,,F43,0)</f>
        <v>1424299088.7607601</v>
      </c>
      <c r="I43" s="70"/>
      <c r="J43" s="96"/>
      <c r="K43" s="101"/>
      <c r="L43" s="74"/>
      <c r="O43" s="23"/>
      <c r="P43" s="23"/>
      <c r="Q43" s="23"/>
      <c r="R43" s="23"/>
      <c r="S43" s="23"/>
      <c r="T43" s="23"/>
      <c r="U43" s="23"/>
      <c r="V43" s="23"/>
    </row>
    <row r="44" spans="1:23" ht="15.75" thickTop="1" x14ac:dyDescent="0.25"/>
  </sheetData>
  <mergeCells count="28">
    <mergeCell ref="I24:I32"/>
    <mergeCell ref="I36:I43"/>
    <mergeCell ref="J2:J10"/>
    <mergeCell ref="J24:J32"/>
    <mergeCell ref="K2:K10"/>
    <mergeCell ref="K24:K32"/>
    <mergeCell ref="I2:I10"/>
    <mergeCell ref="M5:M18"/>
    <mergeCell ref="N5:O18"/>
    <mergeCell ref="P8:W37"/>
    <mergeCell ref="D14:D21"/>
    <mergeCell ref="G14:G21"/>
    <mergeCell ref="J14:J21"/>
    <mergeCell ref="K14:K21"/>
    <mergeCell ref="D24:D32"/>
    <mergeCell ref="M27:M40"/>
    <mergeCell ref="N27:O40"/>
    <mergeCell ref="D36:D43"/>
    <mergeCell ref="G36:G43"/>
    <mergeCell ref="J36:J43"/>
    <mergeCell ref="K36:K43"/>
    <mergeCell ref="L1:L43"/>
    <mergeCell ref="I14:I21"/>
    <mergeCell ref="A1:B21"/>
    <mergeCell ref="D2:D10"/>
    <mergeCell ref="G2:G10"/>
    <mergeCell ref="A23:B43"/>
    <mergeCell ref="G24:G3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6254-C3DF-40F4-BF81-7B02B17B8AD7}">
  <dimension ref="A1:Y43"/>
  <sheetViews>
    <sheetView workbookViewId="0">
      <selection activeCell="R3" sqref="R3:Y32"/>
    </sheetView>
  </sheetViews>
  <sheetFormatPr defaultRowHeight="15" x14ac:dyDescent="0.25"/>
  <sheetData>
    <row r="1" spans="1:25" ht="15" customHeight="1" x14ac:dyDescent="0.25">
      <c r="A1" s="98" t="s">
        <v>88</v>
      </c>
      <c r="B1" s="98"/>
    </row>
    <row r="2" spans="1:25" ht="15" customHeight="1" x14ac:dyDescent="0.25">
      <c r="A2" s="98"/>
      <c r="B2" s="98"/>
    </row>
    <row r="3" spans="1:25" ht="15" customHeight="1" x14ac:dyDescent="0.25">
      <c r="A3" s="98"/>
      <c r="B3" s="98"/>
      <c r="C3" s="117" t="s">
        <v>103</v>
      </c>
      <c r="D3" s="100" t="s">
        <v>104</v>
      </c>
      <c r="E3" s="100"/>
      <c r="F3" s="118">
        <f>NPW!I2</f>
        <v>-37218695080.957756</v>
      </c>
      <c r="G3" s="119"/>
      <c r="R3" s="84" t="s">
        <v>94</v>
      </c>
      <c r="S3" s="84"/>
      <c r="T3" s="84"/>
      <c r="U3" s="84"/>
      <c r="V3" s="84"/>
      <c r="W3" s="84"/>
      <c r="X3" s="84"/>
      <c r="Y3" s="84"/>
    </row>
    <row r="4" spans="1:25" ht="15" customHeight="1" thickBot="1" x14ac:dyDescent="0.3">
      <c r="A4" s="98"/>
      <c r="B4" s="98"/>
      <c r="C4" s="117"/>
      <c r="D4" s="100"/>
      <c r="E4" s="100"/>
      <c r="F4" s="119"/>
      <c r="G4" s="119"/>
      <c r="R4" s="84"/>
      <c r="S4" s="84"/>
      <c r="T4" s="84"/>
      <c r="U4" s="84"/>
      <c r="V4" s="84"/>
      <c r="W4" s="84"/>
      <c r="X4" s="84"/>
      <c r="Y4" s="84"/>
    </row>
    <row r="5" spans="1:25" ht="15" customHeight="1" thickTop="1" thickBot="1" x14ac:dyDescent="0.3">
      <c r="A5" s="98"/>
      <c r="B5" s="98"/>
      <c r="C5" s="117"/>
      <c r="D5" s="100" t="s">
        <v>105</v>
      </c>
      <c r="E5" s="100"/>
      <c r="F5" s="118">
        <f>NFW!K2</f>
        <v>-79781578298.343124</v>
      </c>
      <c r="G5" s="119"/>
      <c r="I5" s="116" t="s">
        <v>111</v>
      </c>
      <c r="J5" s="116"/>
      <c r="K5" s="100" t="s">
        <v>112</v>
      </c>
      <c r="L5" s="100"/>
      <c r="M5" s="115">
        <f>F11/-F3</f>
        <v>1.5378506701282963</v>
      </c>
      <c r="R5" s="84"/>
      <c r="S5" s="84"/>
      <c r="T5" s="84"/>
      <c r="U5" s="84"/>
      <c r="V5" s="84"/>
      <c r="W5" s="84"/>
      <c r="X5" s="84"/>
      <c r="Y5" s="84"/>
    </row>
    <row r="6" spans="1:25" ht="15" customHeight="1" thickTop="1" thickBot="1" x14ac:dyDescent="0.3">
      <c r="A6" s="98"/>
      <c r="B6" s="98"/>
      <c r="C6" s="117"/>
      <c r="D6" s="100"/>
      <c r="E6" s="100"/>
      <c r="F6" s="119"/>
      <c r="G6" s="119"/>
      <c r="I6" s="116"/>
      <c r="J6" s="116"/>
      <c r="K6" s="100"/>
      <c r="L6" s="100"/>
      <c r="M6" s="115"/>
      <c r="R6" s="84"/>
      <c r="S6" s="84"/>
      <c r="T6" s="84"/>
      <c r="U6" s="84"/>
      <c r="V6" s="84"/>
      <c r="W6" s="84"/>
      <c r="X6" s="84"/>
      <c r="Y6" s="84"/>
    </row>
    <row r="7" spans="1:25" ht="15" customHeight="1" thickTop="1" thickBot="1" x14ac:dyDescent="0.3">
      <c r="A7" s="98"/>
      <c r="B7" s="98"/>
      <c r="C7" s="117"/>
      <c r="D7" s="100" t="s">
        <v>106</v>
      </c>
      <c r="E7" s="100"/>
      <c r="F7" s="118">
        <f>Annual!K2</f>
        <v>-6976421734.8666744</v>
      </c>
      <c r="G7" s="119"/>
      <c r="I7" s="116"/>
      <c r="J7" s="116"/>
      <c r="K7" s="100"/>
      <c r="L7" s="100"/>
      <c r="M7" s="115"/>
      <c r="R7" s="84"/>
      <c r="S7" s="84"/>
      <c r="T7" s="84"/>
      <c r="U7" s="84"/>
      <c r="V7" s="84"/>
      <c r="W7" s="84"/>
      <c r="X7" s="84"/>
      <c r="Y7" s="84"/>
    </row>
    <row r="8" spans="1:25" ht="15" customHeight="1" thickTop="1" thickBot="1" x14ac:dyDescent="0.3">
      <c r="A8" s="98"/>
      <c r="B8" s="98"/>
      <c r="C8" s="117"/>
      <c r="D8" s="100"/>
      <c r="E8" s="100"/>
      <c r="F8" s="119"/>
      <c r="G8" s="119"/>
      <c r="I8" s="116"/>
      <c r="J8" s="116"/>
      <c r="K8" s="100" t="s">
        <v>113</v>
      </c>
      <c r="L8" s="100"/>
      <c r="M8" s="115">
        <f>F13/-F5</f>
        <v>1.5378506701282966</v>
      </c>
      <c r="R8" s="84"/>
      <c r="S8" s="84"/>
      <c r="T8" s="84"/>
      <c r="U8" s="84"/>
      <c r="V8" s="84"/>
      <c r="W8" s="84"/>
      <c r="X8" s="84"/>
      <c r="Y8" s="84"/>
    </row>
    <row r="9" spans="1:25" ht="15" customHeight="1" thickTop="1" thickBot="1" x14ac:dyDescent="0.3">
      <c r="A9" s="98"/>
      <c r="B9" s="98"/>
      <c r="I9" s="116"/>
      <c r="J9" s="116"/>
      <c r="K9" s="100"/>
      <c r="L9" s="100"/>
      <c r="M9" s="115"/>
      <c r="R9" s="84"/>
      <c r="S9" s="84"/>
      <c r="T9" s="84"/>
      <c r="U9" s="84"/>
      <c r="V9" s="84"/>
      <c r="W9" s="84"/>
      <c r="X9" s="84"/>
      <c r="Y9" s="84"/>
    </row>
    <row r="10" spans="1:25" ht="15" customHeight="1" thickTop="1" thickBot="1" x14ac:dyDescent="0.3">
      <c r="A10" s="98"/>
      <c r="B10" s="98"/>
      <c r="I10" s="116"/>
      <c r="J10" s="116"/>
      <c r="K10" s="100"/>
      <c r="L10" s="100"/>
      <c r="M10" s="115"/>
      <c r="R10" s="84"/>
      <c r="S10" s="84"/>
      <c r="T10" s="84"/>
      <c r="U10" s="84"/>
      <c r="V10" s="84"/>
      <c r="W10" s="84"/>
      <c r="X10" s="84"/>
      <c r="Y10" s="84"/>
    </row>
    <row r="11" spans="1:25" ht="15" customHeight="1" thickTop="1" thickBot="1" x14ac:dyDescent="0.3">
      <c r="A11" s="98"/>
      <c r="B11" s="98"/>
      <c r="C11" s="120" t="s">
        <v>107</v>
      </c>
      <c r="D11" s="100" t="s">
        <v>108</v>
      </c>
      <c r="E11" s="100"/>
      <c r="F11" s="121">
        <f>NPW!I14</f>
        <v>57236795171.551613</v>
      </c>
      <c r="G11" s="122"/>
      <c r="I11" s="116"/>
      <c r="J11" s="116"/>
      <c r="K11" s="100" t="s">
        <v>114</v>
      </c>
      <c r="L11" s="100"/>
      <c r="M11" s="115">
        <f>F15/-F7</f>
        <v>1.5378506701282966</v>
      </c>
      <c r="N11" s="109" t="s">
        <v>116</v>
      </c>
      <c r="O11" s="109"/>
      <c r="R11" s="84"/>
      <c r="S11" s="84"/>
      <c r="T11" s="84"/>
      <c r="U11" s="84"/>
      <c r="V11" s="84"/>
      <c r="W11" s="84"/>
      <c r="X11" s="84"/>
      <c r="Y11" s="84"/>
    </row>
    <row r="12" spans="1:25" ht="15" customHeight="1" thickTop="1" thickBot="1" x14ac:dyDescent="0.3">
      <c r="A12" s="98"/>
      <c r="B12" s="98"/>
      <c r="C12" s="120"/>
      <c r="D12" s="100"/>
      <c r="E12" s="100"/>
      <c r="F12" s="122"/>
      <c r="G12" s="122"/>
      <c r="I12" s="116"/>
      <c r="J12" s="116"/>
      <c r="K12" s="100"/>
      <c r="L12" s="100"/>
      <c r="M12" s="115"/>
      <c r="N12" s="109"/>
      <c r="O12" s="109"/>
      <c r="R12" s="84"/>
      <c r="S12" s="84"/>
      <c r="T12" s="84"/>
      <c r="U12" s="84"/>
      <c r="V12" s="84"/>
      <c r="W12" s="84"/>
      <c r="X12" s="84"/>
      <c r="Y12" s="84"/>
    </row>
    <row r="13" spans="1:25" ht="15" customHeight="1" thickTop="1" thickBot="1" x14ac:dyDescent="0.3">
      <c r="A13" s="98"/>
      <c r="B13" s="98"/>
      <c r="C13" s="120"/>
      <c r="D13" s="100" t="s">
        <v>109</v>
      </c>
      <c r="E13" s="100"/>
      <c r="F13" s="121">
        <f>NFW!K14</f>
        <v>122692153650.00014</v>
      </c>
      <c r="G13" s="122"/>
      <c r="I13" s="116"/>
      <c r="J13" s="116"/>
      <c r="K13" s="100"/>
      <c r="L13" s="100"/>
      <c r="M13" s="115"/>
      <c r="N13" s="109"/>
      <c r="O13" s="109"/>
      <c r="R13" s="84"/>
      <c r="S13" s="84"/>
      <c r="T13" s="84"/>
      <c r="U13" s="84"/>
      <c r="V13" s="84"/>
      <c r="W13" s="84"/>
      <c r="X13" s="84"/>
      <c r="Y13" s="84"/>
    </row>
    <row r="14" spans="1:25" ht="15" customHeight="1" thickTop="1" x14ac:dyDescent="0.25">
      <c r="A14" s="98"/>
      <c r="B14" s="98"/>
      <c r="C14" s="120"/>
      <c r="D14" s="100"/>
      <c r="E14" s="100"/>
      <c r="F14" s="122"/>
      <c r="G14" s="122"/>
      <c r="M14" s="28"/>
      <c r="N14" s="109"/>
      <c r="O14" s="109"/>
      <c r="R14" s="84"/>
      <c r="S14" s="84"/>
      <c r="T14" s="84"/>
      <c r="U14" s="84"/>
      <c r="V14" s="84"/>
      <c r="W14" s="84"/>
      <c r="X14" s="84"/>
      <c r="Y14" s="84"/>
    </row>
    <row r="15" spans="1:25" ht="15" customHeight="1" x14ac:dyDescent="0.25">
      <c r="A15" s="98"/>
      <c r="B15" s="98"/>
      <c r="C15" s="120"/>
      <c r="D15" s="100" t="s">
        <v>110</v>
      </c>
      <c r="E15" s="100"/>
      <c r="F15" s="121">
        <f>Annual!K14</f>
        <v>10728694840.062328</v>
      </c>
      <c r="G15" s="122"/>
      <c r="M15" s="28"/>
      <c r="N15" s="109"/>
      <c r="O15" s="109"/>
      <c r="P15" s="113" t="s">
        <v>115</v>
      </c>
      <c r="Q15" s="105">
        <f>-(F31-F11)/(F23-F3)</f>
        <v>5.1124557614959416</v>
      </c>
      <c r="R15" s="84"/>
      <c r="S15" s="84"/>
      <c r="T15" s="84"/>
      <c r="U15" s="84"/>
      <c r="V15" s="84"/>
      <c r="W15" s="84"/>
      <c r="X15" s="84"/>
      <c r="Y15" s="84"/>
    </row>
    <row r="16" spans="1:25" ht="15" customHeight="1" x14ac:dyDescent="0.25">
      <c r="A16" s="98"/>
      <c r="B16" s="98"/>
      <c r="C16" s="120"/>
      <c r="D16" s="100"/>
      <c r="E16" s="100"/>
      <c r="F16" s="122"/>
      <c r="G16" s="122"/>
      <c r="M16" s="28"/>
      <c r="N16" s="109"/>
      <c r="O16" s="109"/>
      <c r="P16" s="114"/>
      <c r="Q16" s="106"/>
      <c r="R16" s="84"/>
      <c r="S16" s="84"/>
      <c r="T16" s="84"/>
      <c r="U16" s="84"/>
      <c r="V16" s="84"/>
      <c r="W16" s="84"/>
      <c r="X16" s="84"/>
      <c r="Y16" s="84"/>
    </row>
    <row r="17" spans="1:25" ht="15" customHeight="1" x14ac:dyDescent="0.25">
      <c r="A17" s="98"/>
      <c r="B17" s="98"/>
      <c r="M17" s="28"/>
      <c r="N17" s="109"/>
      <c r="O17" s="109"/>
      <c r="P17" s="114"/>
      <c r="Q17" s="107"/>
      <c r="R17" s="84"/>
      <c r="S17" s="84"/>
      <c r="T17" s="84"/>
      <c r="U17" s="84"/>
      <c r="V17" s="84"/>
      <c r="W17" s="84"/>
      <c r="X17" s="84"/>
      <c r="Y17" s="84"/>
    </row>
    <row r="18" spans="1:25" ht="15" customHeight="1" x14ac:dyDescent="0.25">
      <c r="A18" s="98"/>
      <c r="B18" s="98"/>
      <c r="M18" s="28"/>
      <c r="N18" s="109"/>
      <c r="O18" s="109"/>
      <c r="P18" s="100" t="s">
        <v>115</v>
      </c>
      <c r="Q18" s="108">
        <f>-(F33-F13)/(F25-F5)</f>
        <v>5.1124557614958981</v>
      </c>
      <c r="R18" s="84"/>
      <c r="S18" s="84"/>
      <c r="T18" s="84"/>
      <c r="U18" s="84"/>
      <c r="V18" s="84"/>
      <c r="W18" s="84"/>
      <c r="X18" s="84"/>
      <c r="Y18" s="84"/>
    </row>
    <row r="19" spans="1:25" ht="15" customHeight="1" x14ac:dyDescent="0.25">
      <c r="M19" s="28"/>
      <c r="N19" s="109"/>
      <c r="O19" s="109"/>
      <c r="P19" s="100"/>
      <c r="Q19" s="108"/>
      <c r="R19" s="84"/>
      <c r="S19" s="84"/>
      <c r="T19" s="84"/>
      <c r="U19" s="84"/>
      <c r="V19" s="84"/>
      <c r="W19" s="84"/>
      <c r="X19" s="84"/>
      <c r="Y19" s="84"/>
    </row>
    <row r="20" spans="1:25" ht="15" customHeight="1" x14ac:dyDescent="0.25">
      <c r="M20" s="28"/>
      <c r="N20" s="109"/>
      <c r="O20" s="109"/>
      <c r="P20" s="100"/>
      <c r="Q20" s="108"/>
      <c r="R20" s="84"/>
      <c r="S20" s="84"/>
      <c r="T20" s="84"/>
      <c r="U20" s="84"/>
      <c r="V20" s="84"/>
      <c r="W20" s="84"/>
      <c r="X20" s="84"/>
      <c r="Y20" s="84"/>
    </row>
    <row r="21" spans="1:25" ht="15" customHeight="1" x14ac:dyDescent="0.25">
      <c r="A21" s="99" t="s">
        <v>89</v>
      </c>
      <c r="B21" s="99"/>
      <c r="M21" s="28"/>
      <c r="N21" s="109"/>
      <c r="O21" s="109"/>
      <c r="P21" s="110" t="s">
        <v>115</v>
      </c>
      <c r="Q21" s="112">
        <f>-(F35-F15)/(F27-F7)</f>
        <v>5.1124557614959203</v>
      </c>
      <c r="R21" s="84"/>
      <c r="S21" s="84"/>
      <c r="T21" s="84"/>
      <c r="U21" s="84"/>
      <c r="V21" s="84"/>
      <c r="W21" s="84"/>
      <c r="X21" s="84"/>
      <c r="Y21" s="84"/>
    </row>
    <row r="22" spans="1:25" ht="15" customHeight="1" x14ac:dyDescent="0.25">
      <c r="A22" s="99"/>
      <c r="B22" s="99"/>
      <c r="M22" s="28"/>
      <c r="N22" s="109"/>
      <c r="O22" s="109"/>
      <c r="P22" s="111"/>
      <c r="Q22" s="112"/>
      <c r="R22" s="84"/>
      <c r="S22" s="84"/>
      <c r="T22" s="84"/>
      <c r="U22" s="84"/>
      <c r="V22" s="84"/>
      <c r="W22" s="84"/>
      <c r="X22" s="84"/>
      <c r="Y22" s="84"/>
    </row>
    <row r="23" spans="1:25" ht="15" customHeight="1" x14ac:dyDescent="0.25">
      <c r="A23" s="99"/>
      <c r="B23" s="99"/>
      <c r="C23" s="117" t="s">
        <v>103</v>
      </c>
      <c r="D23" s="100" t="s">
        <v>104</v>
      </c>
      <c r="E23" s="100"/>
      <c r="F23" s="118">
        <f>NPW!I24</f>
        <v>-39025251036.364143</v>
      </c>
      <c r="G23" s="119"/>
      <c r="M23" s="28"/>
      <c r="N23" s="109"/>
      <c r="O23" s="109"/>
      <c r="P23" s="111"/>
      <c r="Q23" s="112"/>
      <c r="R23" s="84"/>
      <c r="S23" s="84"/>
      <c r="T23" s="84"/>
      <c r="U23" s="84"/>
      <c r="V23" s="84"/>
      <c r="W23" s="84"/>
      <c r="X23" s="84"/>
      <c r="Y23" s="84"/>
    </row>
    <row r="24" spans="1:25" ht="15" customHeight="1" thickBot="1" x14ac:dyDescent="0.3">
      <c r="A24" s="99"/>
      <c r="B24" s="99"/>
      <c r="C24" s="117"/>
      <c r="D24" s="100"/>
      <c r="E24" s="100"/>
      <c r="F24" s="119"/>
      <c r="G24" s="119"/>
      <c r="M24" s="28"/>
      <c r="N24" s="109"/>
      <c r="O24" s="109"/>
      <c r="R24" s="84"/>
      <c r="S24" s="84"/>
      <c r="T24" s="84"/>
      <c r="U24" s="84"/>
      <c r="V24" s="84"/>
      <c r="W24" s="84"/>
      <c r="X24" s="84"/>
      <c r="Y24" s="84"/>
    </row>
    <row r="25" spans="1:25" ht="15" customHeight="1" thickTop="1" thickBot="1" x14ac:dyDescent="0.3">
      <c r="A25" s="99"/>
      <c r="B25" s="99"/>
      <c r="C25" s="117"/>
      <c r="D25" s="100" t="s">
        <v>105</v>
      </c>
      <c r="E25" s="100"/>
      <c r="F25" s="118">
        <f>NFW!K24</f>
        <v>-83654091428.99115</v>
      </c>
      <c r="G25" s="119"/>
      <c r="I25" s="116" t="s">
        <v>111</v>
      </c>
      <c r="J25" s="116"/>
      <c r="K25" s="100" t="s">
        <v>112</v>
      </c>
      <c r="L25" s="100"/>
      <c r="M25" s="115">
        <f>F31/-F23</f>
        <v>1.7033262005744385</v>
      </c>
      <c r="N25" s="109"/>
      <c r="O25" s="109"/>
      <c r="R25" s="84"/>
      <c r="S25" s="84"/>
      <c r="T25" s="84"/>
      <c r="U25" s="84"/>
      <c r="V25" s="84"/>
      <c r="W25" s="84"/>
      <c r="X25" s="84"/>
      <c r="Y25" s="84"/>
    </row>
    <row r="26" spans="1:25" ht="15" customHeight="1" thickTop="1" thickBot="1" x14ac:dyDescent="0.3">
      <c r="A26" s="99"/>
      <c r="B26" s="99"/>
      <c r="C26" s="117"/>
      <c r="D26" s="100"/>
      <c r="E26" s="100"/>
      <c r="F26" s="119"/>
      <c r="G26" s="119"/>
      <c r="I26" s="116"/>
      <c r="J26" s="116"/>
      <c r="K26" s="100"/>
      <c r="L26" s="100"/>
      <c r="M26" s="115"/>
      <c r="N26" s="109"/>
      <c r="O26" s="109"/>
      <c r="R26" s="84"/>
      <c r="S26" s="84"/>
      <c r="T26" s="84"/>
      <c r="U26" s="84"/>
      <c r="V26" s="84"/>
      <c r="W26" s="84"/>
      <c r="X26" s="84"/>
      <c r="Y26" s="84"/>
    </row>
    <row r="27" spans="1:25" ht="15" customHeight="1" thickTop="1" thickBot="1" x14ac:dyDescent="0.3">
      <c r="A27" s="99"/>
      <c r="B27" s="99"/>
      <c r="C27" s="117"/>
      <c r="D27" s="100" t="s">
        <v>106</v>
      </c>
      <c r="E27" s="100"/>
      <c r="F27" s="118">
        <f>Annual!K24</f>
        <v>-7315049841.1217546</v>
      </c>
      <c r="G27" s="119"/>
      <c r="I27" s="116"/>
      <c r="J27" s="116"/>
      <c r="K27" s="100"/>
      <c r="L27" s="100"/>
      <c r="M27" s="115"/>
      <c r="N27" s="109"/>
      <c r="O27" s="109"/>
      <c r="R27" s="84"/>
      <c r="S27" s="84"/>
      <c r="T27" s="84"/>
      <c r="U27" s="84"/>
      <c r="V27" s="84"/>
      <c r="W27" s="84"/>
      <c r="X27" s="84"/>
      <c r="Y27" s="84"/>
    </row>
    <row r="28" spans="1:25" ht="15" customHeight="1" thickTop="1" thickBot="1" x14ac:dyDescent="0.3">
      <c r="A28" s="99"/>
      <c r="B28" s="99"/>
      <c r="C28" s="117"/>
      <c r="D28" s="100"/>
      <c r="E28" s="100"/>
      <c r="F28" s="119"/>
      <c r="G28" s="119"/>
      <c r="I28" s="116"/>
      <c r="J28" s="116"/>
      <c r="K28" s="100" t="s">
        <v>113</v>
      </c>
      <c r="L28" s="100"/>
      <c r="M28" s="115">
        <f>F33/-F25</f>
        <v>1.7033262005744381</v>
      </c>
      <c r="R28" s="84"/>
      <c r="S28" s="84"/>
      <c r="T28" s="84"/>
      <c r="U28" s="84"/>
      <c r="V28" s="84"/>
      <c r="W28" s="84"/>
      <c r="X28" s="84"/>
      <c r="Y28" s="84"/>
    </row>
    <row r="29" spans="1:25" ht="15" customHeight="1" thickTop="1" thickBot="1" x14ac:dyDescent="0.3">
      <c r="A29" s="99"/>
      <c r="B29" s="99"/>
      <c r="I29" s="116"/>
      <c r="J29" s="116"/>
      <c r="K29" s="100"/>
      <c r="L29" s="100"/>
      <c r="M29" s="115"/>
      <c r="R29" s="84"/>
      <c r="S29" s="84"/>
      <c r="T29" s="84"/>
      <c r="U29" s="84"/>
      <c r="V29" s="84"/>
      <c r="W29" s="84"/>
      <c r="X29" s="84"/>
      <c r="Y29" s="84"/>
    </row>
    <row r="30" spans="1:25" ht="15" customHeight="1" thickTop="1" thickBot="1" x14ac:dyDescent="0.3">
      <c r="A30" s="99"/>
      <c r="B30" s="99"/>
      <c r="I30" s="116"/>
      <c r="J30" s="116"/>
      <c r="K30" s="100"/>
      <c r="L30" s="100"/>
      <c r="M30" s="115"/>
      <c r="R30" s="84"/>
      <c r="S30" s="84"/>
      <c r="T30" s="84"/>
      <c r="U30" s="84"/>
      <c r="V30" s="84"/>
      <c r="W30" s="84"/>
      <c r="X30" s="84"/>
      <c r="Y30" s="84"/>
    </row>
    <row r="31" spans="1:25" ht="15" customHeight="1" thickTop="1" thickBot="1" x14ac:dyDescent="0.3">
      <c r="A31" s="99"/>
      <c r="B31" s="99"/>
      <c r="C31" s="120" t="s">
        <v>107</v>
      </c>
      <c r="D31" s="100" t="s">
        <v>108</v>
      </c>
      <c r="E31" s="100"/>
      <c r="F31" s="121">
        <f>NPW!I36</f>
        <v>66472732574.233803</v>
      </c>
      <c r="G31" s="122"/>
      <c r="I31" s="116"/>
      <c r="J31" s="116"/>
      <c r="K31" s="100" t="s">
        <v>114</v>
      </c>
      <c r="L31" s="100"/>
      <c r="M31" s="115">
        <f>F35/-F27</f>
        <v>1.7033262005744381</v>
      </c>
      <c r="R31" s="84"/>
      <c r="S31" s="84"/>
      <c r="T31" s="84"/>
      <c r="U31" s="84"/>
      <c r="V31" s="84"/>
      <c r="W31" s="84"/>
      <c r="X31" s="84"/>
      <c r="Y31" s="84"/>
    </row>
    <row r="32" spans="1:25" ht="15" customHeight="1" thickTop="1" thickBot="1" x14ac:dyDescent="0.3">
      <c r="A32" s="99"/>
      <c r="B32" s="99"/>
      <c r="C32" s="120"/>
      <c r="D32" s="100"/>
      <c r="E32" s="100"/>
      <c r="F32" s="122"/>
      <c r="G32" s="122"/>
      <c r="I32" s="116"/>
      <c r="J32" s="116"/>
      <c r="K32" s="100"/>
      <c r="L32" s="100"/>
      <c r="M32" s="115"/>
      <c r="R32" s="84"/>
      <c r="S32" s="84"/>
      <c r="T32" s="84"/>
      <c r="U32" s="84"/>
      <c r="V32" s="84"/>
      <c r="W32" s="84"/>
      <c r="X32" s="84"/>
      <c r="Y32" s="84"/>
    </row>
    <row r="33" spans="1:13" ht="15" customHeight="1" thickTop="1" thickBot="1" x14ac:dyDescent="0.3">
      <c r="A33" s="99"/>
      <c r="B33" s="99"/>
      <c r="C33" s="120"/>
      <c r="D33" s="100" t="s">
        <v>109</v>
      </c>
      <c r="E33" s="100"/>
      <c r="F33" s="121">
        <f>NFW!K36</f>
        <v>142490205716.25015</v>
      </c>
      <c r="G33" s="122"/>
      <c r="I33" s="116"/>
      <c r="J33" s="116"/>
      <c r="K33" s="100"/>
      <c r="L33" s="100"/>
      <c r="M33" s="115"/>
    </row>
    <row r="34" spans="1:13" ht="15" customHeight="1" thickTop="1" x14ac:dyDescent="0.25">
      <c r="A34" s="99"/>
      <c r="B34" s="99"/>
      <c r="C34" s="120"/>
      <c r="D34" s="100"/>
      <c r="E34" s="100"/>
      <c r="F34" s="122"/>
      <c r="G34" s="122"/>
    </row>
    <row r="35" spans="1:13" ht="15" customHeight="1" x14ac:dyDescent="0.25">
      <c r="A35" s="99"/>
      <c r="B35" s="99"/>
      <c r="C35" s="120"/>
      <c r="D35" s="100" t="s">
        <v>110</v>
      </c>
      <c r="E35" s="100"/>
      <c r="F35" s="121">
        <f>Annual!K36</f>
        <v>12459916052.890566</v>
      </c>
      <c r="G35" s="122"/>
    </row>
    <row r="36" spans="1:13" ht="15" customHeight="1" x14ac:dyDescent="0.25">
      <c r="A36" s="99"/>
      <c r="B36" s="99"/>
      <c r="C36" s="120"/>
      <c r="D36" s="100"/>
      <c r="E36" s="100"/>
      <c r="F36" s="122"/>
      <c r="G36" s="122"/>
    </row>
    <row r="37" spans="1:13" ht="15" customHeight="1" x14ac:dyDescent="0.25">
      <c r="A37" s="99"/>
      <c r="B37" s="99"/>
    </row>
    <row r="38" spans="1:13" ht="15" customHeight="1" x14ac:dyDescent="0.25">
      <c r="A38" s="99"/>
      <c r="B38" s="99"/>
    </row>
    <row r="39" spans="1:13" ht="15" customHeight="1" x14ac:dyDescent="0.25"/>
    <row r="40" spans="1:13" ht="15" customHeight="1" x14ac:dyDescent="0.25"/>
    <row r="41" spans="1:13" ht="15" customHeight="1" x14ac:dyDescent="0.25"/>
    <row r="42" spans="1:13" ht="15" customHeight="1" x14ac:dyDescent="0.25"/>
    <row r="43" spans="1:13" ht="15" customHeight="1" x14ac:dyDescent="0.25"/>
  </sheetData>
  <mergeCells count="52">
    <mergeCell ref="R3:Y32"/>
    <mergeCell ref="F15:G16"/>
    <mergeCell ref="D3:E4"/>
    <mergeCell ref="F3:G4"/>
    <mergeCell ref="C3:C8"/>
    <mergeCell ref="D7:E8"/>
    <mergeCell ref="D5:E6"/>
    <mergeCell ref="F5:G6"/>
    <mergeCell ref="C31:C36"/>
    <mergeCell ref="D31:E32"/>
    <mergeCell ref="F31:G32"/>
    <mergeCell ref="D33:E34"/>
    <mergeCell ref="F33:G34"/>
    <mergeCell ref="D35:E36"/>
    <mergeCell ref="F35:G36"/>
    <mergeCell ref="I5:J13"/>
    <mergeCell ref="A1:B18"/>
    <mergeCell ref="A21:B38"/>
    <mergeCell ref="C23:C28"/>
    <mergeCell ref="D23:E24"/>
    <mergeCell ref="F23:G24"/>
    <mergeCell ref="D25:E26"/>
    <mergeCell ref="F25:G26"/>
    <mergeCell ref="D27:E28"/>
    <mergeCell ref="F27:G28"/>
    <mergeCell ref="F7:G8"/>
    <mergeCell ref="C11:C16"/>
    <mergeCell ref="D11:E12"/>
    <mergeCell ref="D13:E14"/>
    <mergeCell ref="D15:E16"/>
    <mergeCell ref="F11:G12"/>
    <mergeCell ref="F13:G14"/>
    <mergeCell ref="K5:L7"/>
    <mergeCell ref="K8:L10"/>
    <mergeCell ref="K11:L13"/>
    <mergeCell ref="I25:J33"/>
    <mergeCell ref="K25:L27"/>
    <mergeCell ref="K28:L30"/>
    <mergeCell ref="K31:L33"/>
    <mergeCell ref="M8:M10"/>
    <mergeCell ref="M25:M27"/>
    <mergeCell ref="M28:M30"/>
    <mergeCell ref="M31:M33"/>
    <mergeCell ref="M5:M7"/>
    <mergeCell ref="M11:M13"/>
    <mergeCell ref="Q15:Q17"/>
    <mergeCell ref="Q18:Q20"/>
    <mergeCell ref="N11:O27"/>
    <mergeCell ref="P21:P23"/>
    <mergeCell ref="Q21:Q23"/>
    <mergeCell ref="P18:P20"/>
    <mergeCell ref="P15:P17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4864-F631-4ACA-A0F1-050009D868EA}">
  <dimension ref="A1:L45"/>
  <sheetViews>
    <sheetView workbookViewId="0">
      <selection activeCell="D35" sqref="D35"/>
    </sheetView>
  </sheetViews>
  <sheetFormatPr defaultRowHeight="15" x14ac:dyDescent="0.25"/>
  <cols>
    <col min="2" max="2" width="14.28515625" bestFit="1" customWidth="1"/>
    <col min="3" max="3" width="17.28515625" customWidth="1"/>
    <col min="4" max="4" width="20.7109375" customWidth="1"/>
    <col min="5" max="5" width="2.85546875" customWidth="1"/>
    <col min="7" max="7" width="15" customWidth="1"/>
    <col min="8" max="8" width="14.7109375" customWidth="1"/>
    <col min="9" max="9" width="19.42578125" customWidth="1"/>
    <col min="10" max="10" width="2.7109375" customWidth="1"/>
    <col min="11" max="12" width="23.28515625" customWidth="1"/>
  </cols>
  <sheetData>
    <row r="1" spans="1:12" ht="15.75" customHeight="1" x14ac:dyDescent="0.25">
      <c r="A1" s="123" t="s">
        <v>121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6.5" customHeight="1" thickBot="1" x14ac:dyDescent="0.3">
      <c r="A2" s="124" t="s">
        <v>88</v>
      </c>
      <c r="B2" s="124"/>
      <c r="C2" s="124"/>
      <c r="D2" s="124"/>
      <c r="F2" s="125" t="s">
        <v>89</v>
      </c>
      <c r="G2" s="125"/>
      <c r="H2" s="125"/>
      <c r="I2" s="125"/>
      <c r="J2" s="23"/>
    </row>
    <row r="3" spans="1:12" ht="16.5" customHeight="1" thickTop="1" thickBot="1" x14ac:dyDescent="0.3">
      <c r="A3" s="33" t="s">
        <v>120</v>
      </c>
      <c r="B3" s="33" t="s">
        <v>117</v>
      </c>
      <c r="C3" s="33" t="s">
        <v>118</v>
      </c>
      <c r="D3" s="33" t="s">
        <v>119</v>
      </c>
      <c r="E3" s="68"/>
      <c r="F3" s="33" t="s">
        <v>120</v>
      </c>
      <c r="G3" s="33" t="s">
        <v>117</v>
      </c>
      <c r="H3" s="33" t="s">
        <v>118</v>
      </c>
      <c r="I3" s="33" t="s">
        <v>119</v>
      </c>
      <c r="J3" s="74"/>
      <c r="K3" s="33" t="s">
        <v>124</v>
      </c>
    </row>
    <row r="4" spans="1:12" ht="16.5" customHeight="1" thickTop="1" thickBot="1" x14ac:dyDescent="0.3">
      <c r="A4">
        <v>0</v>
      </c>
      <c r="B4" s="30">
        <f>-FastFood!K2</f>
        <v>-5737000800</v>
      </c>
      <c r="C4" s="16">
        <f>B4</f>
        <v>-5737000800</v>
      </c>
      <c r="D4" s="16">
        <f>C4</f>
        <v>-5737000800</v>
      </c>
      <c r="E4" s="69"/>
      <c r="F4">
        <v>0</v>
      </c>
      <c r="G4" s="16">
        <f>-TakeAway!K2</f>
        <v>-5762000800</v>
      </c>
      <c r="H4" s="16">
        <f>G4</f>
        <v>-5762000800</v>
      </c>
      <c r="I4" s="16">
        <f>H4</f>
        <v>-5762000800</v>
      </c>
      <c r="J4" s="74"/>
      <c r="K4" s="16">
        <f>G4-B4</f>
        <v>-25000000</v>
      </c>
    </row>
    <row r="5" spans="1:12" ht="16.5" thickTop="1" thickBot="1" x14ac:dyDescent="0.3">
      <c r="A5">
        <v>1</v>
      </c>
      <c r="B5" s="30">
        <f>FastFood!I6-FastFood!K4</f>
        <v>3712290000</v>
      </c>
      <c r="C5" s="16">
        <f>-PV(FastFood!I16,A5,,B5,0)</f>
        <v>3374809090.9090905</v>
      </c>
      <c r="D5" s="16">
        <f>D4+C5</f>
        <v>-2362191709.0909095</v>
      </c>
      <c r="E5" s="69"/>
      <c r="F5">
        <v>1</v>
      </c>
      <c r="G5" s="16">
        <f>((TakeAway!I6)*1)-((TakeAway!K4)*1)</f>
        <v>4786750000</v>
      </c>
      <c r="H5" s="16">
        <f>-PV(TakeAway!I16,A5,,G5,0)</f>
        <v>4351590909.090909</v>
      </c>
      <c r="I5" s="16">
        <f t="shared" ref="I5:I12" si="0">I4+H5</f>
        <v>-1410409890.909091</v>
      </c>
      <c r="J5" s="74"/>
      <c r="K5" s="16">
        <f t="shared" ref="K5:K12" si="1">G5-B5</f>
        <v>1074460000</v>
      </c>
    </row>
    <row r="6" spans="1:12" ht="16.5" thickTop="1" thickBot="1" x14ac:dyDescent="0.3">
      <c r="A6">
        <v>2</v>
      </c>
      <c r="B6" s="30">
        <f>((FastFood!I6)*1.1)-((FastFood!K4)*1.1)</f>
        <v>4083519000</v>
      </c>
      <c r="C6" s="16">
        <f>-PV(FastFood!I16,A6,,B6,0)</f>
        <v>3374809090.9090905</v>
      </c>
      <c r="D6" s="16">
        <f>D5+C6</f>
        <v>1012617381.818181</v>
      </c>
      <c r="E6" s="69"/>
      <c r="F6">
        <v>2</v>
      </c>
      <c r="G6" s="16">
        <f>((TakeAway!I6)*1.1)-((TakeAway!K4)*1.1)</f>
        <v>5265425000</v>
      </c>
      <c r="H6" s="16">
        <f>-PV(TakeAway!I16,A6,,G6,0)</f>
        <v>4351590909.0909081</v>
      </c>
      <c r="I6" s="16">
        <f t="shared" si="0"/>
        <v>2941181018.1818171</v>
      </c>
      <c r="J6" s="74"/>
      <c r="K6" s="16">
        <f t="shared" si="1"/>
        <v>1181906000</v>
      </c>
    </row>
    <row r="7" spans="1:12" ht="16.5" thickTop="1" thickBot="1" x14ac:dyDescent="0.3">
      <c r="A7">
        <v>3</v>
      </c>
      <c r="B7" s="30">
        <f>((FastFood!I6)*1.2)-((FastFood!K4)*1.2)</f>
        <v>4454748000</v>
      </c>
      <c r="C7" s="16">
        <f>-PV(FastFood!I16,A7,,B7,0)</f>
        <v>3346918106.6867008</v>
      </c>
      <c r="D7" s="16">
        <f>D6+C7</f>
        <v>4359535488.5048819</v>
      </c>
      <c r="E7" s="69"/>
      <c r="F7">
        <v>3</v>
      </c>
      <c r="G7" s="16">
        <f>((TakeAway!I6)*1.2)-((TakeAway!K4)*1.2)</f>
        <v>5744100000</v>
      </c>
      <c r="H7" s="16">
        <f>-PV(TakeAway!I16,A7,,G7,0)</f>
        <v>4315627347.8587513</v>
      </c>
      <c r="I7" s="16">
        <f t="shared" si="0"/>
        <v>7256808366.0405684</v>
      </c>
      <c r="J7" s="74"/>
      <c r="K7" s="16">
        <f t="shared" si="1"/>
        <v>1289352000</v>
      </c>
    </row>
    <row r="8" spans="1:12" ht="16.5" thickTop="1" thickBot="1" x14ac:dyDescent="0.3">
      <c r="A8">
        <v>4</v>
      </c>
      <c r="B8" s="30">
        <f>((FastFood!I6)*1.3)-((FastFood!K4)*1.3)</f>
        <v>4825977000</v>
      </c>
      <c r="C8" s="16">
        <f>-PV(FastFood!I16,A8,,B8,0)</f>
        <v>3296207226.2823567</v>
      </c>
      <c r="D8" s="16">
        <f>D7+C8</f>
        <v>7655742714.7872391</v>
      </c>
      <c r="E8" s="69"/>
      <c r="F8">
        <v>4</v>
      </c>
      <c r="G8" s="16">
        <f>((TakeAway!I6)*1.3)-((TakeAway!K4)*1.3)</f>
        <v>6222775000</v>
      </c>
      <c r="H8" s="16">
        <f>-PV(TakeAway!I16,A8,,G8,0)</f>
        <v>4250239054.7093768</v>
      </c>
      <c r="I8" s="16">
        <f t="shared" si="0"/>
        <v>11507047420.749945</v>
      </c>
      <c r="J8" s="74"/>
      <c r="K8" s="16">
        <f t="shared" si="1"/>
        <v>1396798000</v>
      </c>
    </row>
    <row r="9" spans="1:12" ht="16.5" thickTop="1" thickBot="1" x14ac:dyDescent="0.3">
      <c r="A9">
        <v>5</v>
      </c>
      <c r="B9" s="30">
        <f>((FastFood!I6)*1.4)-((FastFood!K4)*1.4)</f>
        <v>5197206000</v>
      </c>
      <c r="C9" s="16">
        <f>-PV(FastFood!I16,A9,,B9,0)</f>
        <v>3227056025.7309785</v>
      </c>
      <c r="D9" s="16">
        <f t="shared" ref="D9" si="2">D8+C9</f>
        <v>10882798740.518217</v>
      </c>
      <c r="E9" s="69"/>
      <c r="F9">
        <v>5</v>
      </c>
      <c r="G9" s="16">
        <f>((TakeAway!I6)*1.4)-((TakeAway!K4)*1.4)</f>
        <v>6701450000</v>
      </c>
      <c r="H9" s="16">
        <f>-PV(TakeAway!I16,A9,,G9,0)</f>
        <v>4161073200.4147739</v>
      </c>
      <c r="I9" s="16">
        <f t="shared" si="0"/>
        <v>15668120621.164719</v>
      </c>
      <c r="J9" s="74"/>
      <c r="K9" s="16">
        <f t="shared" si="1"/>
        <v>1504244000</v>
      </c>
    </row>
    <row r="10" spans="1:12" ht="16.5" thickTop="1" thickBot="1" x14ac:dyDescent="0.3">
      <c r="A10">
        <v>6</v>
      </c>
      <c r="B10" s="30">
        <f>((FastFood!I6)*1.5)-((FastFood!K4)*1.5)</f>
        <v>5568435000</v>
      </c>
      <c r="C10" s="16">
        <f>-PV(FastFood!I16,A10,,B10,0)</f>
        <v>3143236388.6990047</v>
      </c>
      <c r="D10" s="16">
        <f>D9+C10</f>
        <v>14026035129.217222</v>
      </c>
      <c r="E10" s="69"/>
      <c r="F10">
        <v>6</v>
      </c>
      <c r="G10" s="16">
        <f>((TakeAway!I6)*1.5)-((TakeAway!K4)*1.5)</f>
        <v>7180125000</v>
      </c>
      <c r="H10" s="16">
        <f>-PV(TakeAway!I16,A10,,G10,0)</f>
        <v>4052993377.0273767</v>
      </c>
      <c r="I10" s="16">
        <f t="shared" si="0"/>
        <v>19721113998.192097</v>
      </c>
      <c r="J10" s="74"/>
      <c r="K10" s="16">
        <f t="shared" si="1"/>
        <v>1611690000</v>
      </c>
    </row>
    <row r="11" spans="1:12" ht="16.5" thickTop="1" thickBot="1" x14ac:dyDescent="0.3">
      <c r="A11">
        <v>7</v>
      </c>
      <c r="B11" s="30">
        <f>((FastFood!I6)*1.6)-((FastFood!K4)*1.6)</f>
        <v>5939664000</v>
      </c>
      <c r="C11" s="16">
        <f>-PV(FastFood!I16,A11,,B11,0)</f>
        <v>3047986801.1626706</v>
      </c>
      <c r="D11" s="16">
        <f>D10+C11</f>
        <v>17074021930.379892</v>
      </c>
      <c r="E11" s="69"/>
      <c r="F11">
        <v>7</v>
      </c>
      <c r="G11" s="16">
        <f>((TakeAway!I6)*1.6)-((TakeAway!K4)*1.6)</f>
        <v>7658800000</v>
      </c>
      <c r="H11" s="16">
        <f>-PV(TakeAway!I16,A11,,G11,0)</f>
        <v>3930175395.9053345</v>
      </c>
      <c r="I11" s="16">
        <f t="shared" si="0"/>
        <v>23651289394.097431</v>
      </c>
      <c r="J11" s="74"/>
      <c r="K11" s="16">
        <f t="shared" si="1"/>
        <v>1719136000</v>
      </c>
    </row>
    <row r="12" spans="1:12" ht="16.5" thickTop="1" thickBot="1" x14ac:dyDescent="0.3">
      <c r="A12">
        <v>8</v>
      </c>
      <c r="B12" s="30">
        <f>((FastFood!I6)*1.7)-((FastFood!K4)*1.7)</f>
        <v>6310893000</v>
      </c>
      <c r="C12" s="16">
        <f>-PV(FastFood!I16,A12,,B12,0)</f>
        <v>2944078160.2139435</v>
      </c>
      <c r="D12" s="16">
        <f>D11+C12</f>
        <v>20018100090.593834</v>
      </c>
      <c r="E12" s="70"/>
      <c r="F12">
        <v>8</v>
      </c>
      <c r="G12" s="16">
        <f>((TakeAway!I6)*1.7)-((TakeAway!K4)*1.7)</f>
        <v>8137475000</v>
      </c>
      <c r="H12" s="16">
        <f>-PV(TakeAway!I16,A12,,G12,0)</f>
        <v>3796192143.7721982</v>
      </c>
      <c r="I12" s="16">
        <f t="shared" si="0"/>
        <v>27447481537.869629</v>
      </c>
      <c r="J12" s="74"/>
      <c r="K12" s="16">
        <f t="shared" si="1"/>
        <v>1826582000</v>
      </c>
    </row>
    <row r="13" spans="1:12" ht="15.75" thickTop="1" x14ac:dyDescent="0.25"/>
    <row r="14" spans="1:12" x14ac:dyDescent="0.25">
      <c r="C14" s="29" t="s">
        <v>122</v>
      </c>
      <c r="D14" s="31">
        <f>IRR(B4:B12)</f>
        <v>0.72054604820146628</v>
      </c>
      <c r="H14" s="29" t="s">
        <v>122</v>
      </c>
      <c r="I14" s="31">
        <f>IRR(G4:G12)</f>
        <v>0.91289693339618361</v>
      </c>
      <c r="K14" s="29" t="s">
        <v>123</v>
      </c>
      <c r="L14" s="32">
        <f>IRR(K4:K12)</f>
        <v>43.078168401472105</v>
      </c>
    </row>
    <row r="16" spans="1:12" ht="15" customHeight="1" x14ac:dyDescent="0.25">
      <c r="D16" s="84" t="s">
        <v>94</v>
      </c>
      <c r="E16" s="84"/>
      <c r="F16" s="84"/>
      <c r="G16" s="84"/>
      <c r="H16" s="84"/>
      <c r="I16" s="84"/>
      <c r="J16" s="84"/>
      <c r="K16" s="84"/>
    </row>
    <row r="17" spans="4:11" ht="15" customHeight="1" x14ac:dyDescent="0.25">
      <c r="D17" s="84"/>
      <c r="E17" s="84"/>
      <c r="F17" s="84"/>
      <c r="G17" s="84"/>
      <c r="H17" s="84"/>
      <c r="I17" s="84"/>
      <c r="J17" s="84"/>
      <c r="K17" s="84"/>
    </row>
    <row r="18" spans="4:11" ht="15" customHeight="1" x14ac:dyDescent="0.25">
      <c r="D18" s="84"/>
      <c r="E18" s="84"/>
      <c r="F18" s="84"/>
      <c r="G18" s="84"/>
      <c r="H18" s="84"/>
      <c r="I18" s="84"/>
      <c r="J18" s="84"/>
      <c r="K18" s="84"/>
    </row>
    <row r="19" spans="4:11" ht="15" customHeight="1" x14ac:dyDescent="0.25">
      <c r="D19" s="84"/>
      <c r="E19" s="84"/>
      <c r="F19" s="84"/>
      <c r="G19" s="84"/>
      <c r="H19" s="84"/>
      <c r="I19" s="84"/>
      <c r="J19" s="84"/>
      <c r="K19" s="84"/>
    </row>
    <row r="20" spans="4:11" ht="15" customHeight="1" x14ac:dyDescent="0.25">
      <c r="D20" s="84"/>
      <c r="E20" s="84"/>
      <c r="F20" s="84"/>
      <c r="G20" s="84"/>
      <c r="H20" s="84"/>
      <c r="I20" s="84"/>
      <c r="J20" s="84"/>
      <c r="K20" s="84"/>
    </row>
    <row r="21" spans="4:11" ht="15" customHeight="1" x14ac:dyDescent="0.25">
      <c r="D21" s="84"/>
      <c r="E21" s="84"/>
      <c r="F21" s="84"/>
      <c r="G21" s="84"/>
      <c r="H21" s="84"/>
      <c r="I21" s="84"/>
      <c r="J21" s="84"/>
      <c r="K21" s="84"/>
    </row>
    <row r="22" spans="4:11" ht="15" customHeight="1" x14ac:dyDescent="0.25">
      <c r="D22" s="84"/>
      <c r="E22" s="84"/>
      <c r="F22" s="84"/>
      <c r="G22" s="84"/>
      <c r="H22" s="84"/>
      <c r="I22" s="84"/>
      <c r="J22" s="84"/>
      <c r="K22" s="84"/>
    </row>
    <row r="23" spans="4:11" ht="15" customHeight="1" x14ac:dyDescent="0.25">
      <c r="D23" s="84"/>
      <c r="E23" s="84"/>
      <c r="F23" s="84"/>
      <c r="G23" s="84"/>
      <c r="H23" s="84"/>
      <c r="I23" s="84"/>
      <c r="J23" s="84"/>
      <c r="K23" s="84"/>
    </row>
    <row r="24" spans="4:11" ht="15" customHeight="1" x14ac:dyDescent="0.25">
      <c r="D24" s="84"/>
      <c r="E24" s="84"/>
      <c r="F24" s="84"/>
      <c r="G24" s="84"/>
      <c r="H24" s="84"/>
      <c r="I24" s="84"/>
      <c r="J24" s="84"/>
      <c r="K24" s="84"/>
    </row>
    <row r="25" spans="4:11" ht="15" customHeight="1" x14ac:dyDescent="0.25">
      <c r="D25" s="84"/>
      <c r="E25" s="84"/>
      <c r="F25" s="84"/>
      <c r="G25" s="84"/>
      <c r="H25" s="84"/>
      <c r="I25" s="84"/>
      <c r="J25" s="84"/>
      <c r="K25" s="84"/>
    </row>
    <row r="26" spans="4:11" ht="15" customHeight="1" x14ac:dyDescent="0.25">
      <c r="D26" s="84"/>
      <c r="E26" s="84"/>
      <c r="F26" s="84"/>
      <c r="G26" s="84"/>
      <c r="H26" s="84"/>
      <c r="I26" s="84"/>
      <c r="J26" s="84"/>
      <c r="K26" s="84"/>
    </row>
    <row r="27" spans="4:11" ht="15" customHeight="1" x14ac:dyDescent="0.25">
      <c r="D27" s="84"/>
      <c r="E27" s="84"/>
      <c r="F27" s="84"/>
      <c r="G27" s="84"/>
      <c r="H27" s="84"/>
      <c r="I27" s="84"/>
      <c r="J27" s="84"/>
      <c r="K27" s="84"/>
    </row>
    <row r="28" spans="4:11" ht="15" customHeight="1" x14ac:dyDescent="0.25">
      <c r="D28" s="84"/>
      <c r="E28" s="84"/>
      <c r="F28" s="84"/>
      <c r="G28" s="84"/>
      <c r="H28" s="84"/>
      <c r="I28" s="84"/>
      <c r="J28" s="84"/>
      <c r="K28" s="84"/>
    </row>
    <row r="29" spans="4:11" ht="15" customHeight="1" x14ac:dyDescent="0.25"/>
    <row r="30" spans="4:11" ht="15" customHeight="1" x14ac:dyDescent="0.25"/>
    <row r="31" spans="4:11" ht="15" customHeight="1" x14ac:dyDescent="0.25"/>
    <row r="32" spans="4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</sheetData>
  <mergeCells count="6">
    <mergeCell ref="A1:L1"/>
    <mergeCell ref="D16:K28"/>
    <mergeCell ref="A2:D2"/>
    <mergeCell ref="E3:E12"/>
    <mergeCell ref="F2:I2"/>
    <mergeCell ref="J3:J1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9970-B5C9-4911-9E81-1A908245D01B}">
  <dimension ref="A1:Q45"/>
  <sheetViews>
    <sheetView zoomScaleNormal="100" workbookViewId="0">
      <selection activeCell="D3" sqref="D3:E4"/>
    </sheetView>
  </sheetViews>
  <sheetFormatPr defaultRowHeight="15" x14ac:dyDescent="0.25"/>
  <cols>
    <col min="1" max="1" width="12.7109375" customWidth="1"/>
    <col min="2" max="2" width="15.7109375" customWidth="1"/>
    <col min="3" max="3" width="3.42578125" customWidth="1"/>
    <col min="4" max="4" width="11.5703125" customWidth="1"/>
    <col min="5" max="5" width="15.5703125" customWidth="1"/>
    <col min="6" max="6" width="3.42578125" customWidth="1"/>
    <col min="7" max="7" width="15" customWidth="1"/>
    <col min="8" max="8" width="14.7109375" customWidth="1"/>
    <col min="9" max="9" width="2.85546875" customWidth="1"/>
    <col min="10" max="10" width="11.42578125" customWidth="1"/>
    <col min="11" max="11" width="15.140625" customWidth="1"/>
    <col min="12" max="12" width="2.85546875" customWidth="1"/>
    <col min="13" max="13" width="11.140625" customWidth="1"/>
    <col min="14" max="14" width="15.42578125" customWidth="1"/>
    <col min="15" max="15" width="3.42578125" customWidth="1"/>
    <col min="16" max="16" width="11" customWidth="1"/>
    <col min="17" max="17" width="15.42578125" customWidth="1"/>
  </cols>
  <sheetData>
    <row r="1" spans="1:17" ht="15.75" customHeight="1" x14ac:dyDescent="0.25">
      <c r="A1" s="123" t="s">
        <v>125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16.5" customHeight="1" x14ac:dyDescent="0.25">
      <c r="A2" s="124" t="s">
        <v>88</v>
      </c>
      <c r="B2" s="124"/>
      <c r="C2" s="124"/>
      <c r="D2" s="124"/>
      <c r="E2" s="124"/>
      <c r="F2" s="124"/>
      <c r="G2" s="124"/>
      <c r="H2" s="124"/>
      <c r="I2" s="73"/>
      <c r="J2" s="124" t="s">
        <v>89</v>
      </c>
      <c r="K2" s="124"/>
      <c r="L2" s="124"/>
      <c r="M2" s="124"/>
      <c r="N2" s="124"/>
      <c r="O2" s="124"/>
      <c r="P2" s="124"/>
      <c r="Q2" s="124"/>
    </row>
    <row r="3" spans="1:17" ht="16.5" customHeight="1" x14ac:dyDescent="0.25">
      <c r="A3" s="127" t="s">
        <v>72</v>
      </c>
      <c r="B3" s="127"/>
      <c r="C3" s="83"/>
      <c r="D3" s="127" t="s">
        <v>71</v>
      </c>
      <c r="E3" s="127"/>
      <c r="F3" s="83"/>
      <c r="G3" s="127" t="s">
        <v>0</v>
      </c>
      <c r="H3" s="127"/>
      <c r="I3" s="73"/>
      <c r="J3" s="127" t="s">
        <v>72</v>
      </c>
      <c r="K3" s="127"/>
      <c r="L3" s="83"/>
      <c r="M3" s="127" t="s">
        <v>71</v>
      </c>
      <c r="N3" s="127"/>
      <c r="O3" s="83"/>
      <c r="P3" s="127" t="s">
        <v>0</v>
      </c>
      <c r="Q3" s="127"/>
    </row>
    <row r="4" spans="1:17" ht="16.5" customHeight="1" thickBot="1" x14ac:dyDescent="0.3">
      <c r="A4" s="128"/>
      <c r="B4" s="128"/>
      <c r="C4" s="126"/>
      <c r="D4" s="128"/>
      <c r="E4" s="128"/>
      <c r="F4" s="126"/>
      <c r="G4" s="128"/>
      <c r="H4" s="128"/>
      <c r="I4" s="73"/>
      <c r="J4" s="128"/>
      <c r="K4" s="128"/>
      <c r="L4" s="126"/>
      <c r="M4" s="128"/>
      <c r="N4" s="128"/>
      <c r="O4" s="126"/>
      <c r="P4" s="128"/>
      <c r="Q4" s="128"/>
    </row>
    <row r="5" spans="1:17" ht="16.5" thickTop="1" thickBot="1" x14ac:dyDescent="0.3">
      <c r="A5" s="38" t="s">
        <v>126</v>
      </c>
      <c r="B5" s="38" t="s">
        <v>93</v>
      </c>
      <c r="C5" s="74"/>
      <c r="D5" s="38" t="s">
        <v>126</v>
      </c>
      <c r="E5" s="38" t="s">
        <v>93</v>
      </c>
      <c r="F5" s="74"/>
      <c r="G5" s="38" t="s">
        <v>126</v>
      </c>
      <c r="H5" s="38" t="s">
        <v>93</v>
      </c>
      <c r="I5" s="73"/>
      <c r="J5" s="38" t="s">
        <v>126</v>
      </c>
      <c r="K5" s="38" t="s">
        <v>93</v>
      </c>
      <c r="L5" s="74"/>
      <c r="M5" s="38" t="s">
        <v>126</v>
      </c>
      <c r="N5" s="38" t="s">
        <v>93</v>
      </c>
      <c r="O5" s="74"/>
      <c r="P5" s="38" t="s">
        <v>126</v>
      </c>
      <c r="Q5" s="38" t="s">
        <v>93</v>
      </c>
    </row>
    <row r="6" spans="1:17" ht="16.5" thickTop="1" thickBot="1" x14ac:dyDescent="0.3">
      <c r="A6" s="38">
        <v>-50</v>
      </c>
      <c r="B6" s="30">
        <v>35758947231.072739</v>
      </c>
      <c r="C6" s="74"/>
      <c r="D6" s="38">
        <v>-50</v>
      </c>
      <c r="E6" s="16">
        <v>-8600297495.1819496</v>
      </c>
      <c r="F6" s="74"/>
      <c r="G6" s="38">
        <v>-50</v>
      </c>
      <c r="H6" s="16">
        <v>22886600490.593861</v>
      </c>
      <c r="I6" s="73"/>
      <c r="J6" s="38">
        <v>-50</v>
      </c>
      <c r="K6" s="16">
        <v>44079106656.051727</v>
      </c>
      <c r="L6" s="74"/>
      <c r="M6" s="38">
        <v>-50</v>
      </c>
      <c r="N6" s="16">
        <v>-5788884749.247242</v>
      </c>
      <c r="O6" s="74"/>
      <c r="P6" s="38">
        <v>-50</v>
      </c>
      <c r="Q6" s="16">
        <v>30328481937.869659</v>
      </c>
    </row>
    <row r="7" spans="1:17" ht="16.5" thickTop="1" thickBot="1" x14ac:dyDescent="0.3">
      <c r="A7" s="38">
        <v>-40</v>
      </c>
      <c r="B7" s="16">
        <v>32610777802.976963</v>
      </c>
      <c r="C7" s="74"/>
      <c r="D7" s="38">
        <v>-40</v>
      </c>
      <c r="E7" s="16">
        <v>-2876617978.026783</v>
      </c>
      <c r="F7" s="74"/>
      <c r="G7" s="38">
        <v>-40</v>
      </c>
      <c r="H7" s="30">
        <v>22312900410.593857</v>
      </c>
      <c r="I7" s="73"/>
      <c r="J7" s="38">
        <v>-40</v>
      </c>
      <c r="K7" s="16">
        <v>40752781632.415314</v>
      </c>
      <c r="L7" s="74"/>
      <c r="M7" s="38">
        <v>-40</v>
      </c>
      <c r="N7" s="16">
        <v>858388508.17613983</v>
      </c>
      <c r="O7" s="74"/>
      <c r="P7" s="38">
        <v>-40</v>
      </c>
      <c r="Q7" s="16">
        <v>29752281857.869659</v>
      </c>
    </row>
    <row r="8" spans="1:17" ht="16.5" thickTop="1" thickBot="1" x14ac:dyDescent="0.3">
      <c r="A8" s="38">
        <v>-30</v>
      </c>
      <c r="B8" s="30">
        <v>29462608374.881184</v>
      </c>
      <c r="C8" s="74"/>
      <c r="D8" s="38">
        <v>-30</v>
      </c>
      <c r="E8" s="16">
        <v>2847061539.1283722</v>
      </c>
      <c r="F8" s="74"/>
      <c r="G8" s="38">
        <v>-30</v>
      </c>
      <c r="H8" s="30">
        <v>21739200330.593857</v>
      </c>
      <c r="I8" s="73"/>
      <c r="J8" s="38">
        <v>-30</v>
      </c>
      <c r="K8" s="16">
        <v>37426456608.7789</v>
      </c>
      <c r="L8" s="74"/>
      <c r="M8" s="38">
        <v>-30</v>
      </c>
      <c r="N8" s="16">
        <v>7505661765.5995178</v>
      </c>
      <c r="O8" s="74"/>
      <c r="P8" s="38">
        <v>-30</v>
      </c>
      <c r="Q8" s="30">
        <v>29176081777.869659</v>
      </c>
    </row>
    <row r="9" spans="1:17" ht="16.5" thickTop="1" thickBot="1" x14ac:dyDescent="0.3">
      <c r="A9" s="38">
        <v>-20</v>
      </c>
      <c r="B9" s="30">
        <v>26314438946.785412</v>
      </c>
      <c r="C9" s="74"/>
      <c r="D9" s="38">
        <v>-20</v>
      </c>
      <c r="E9" s="16">
        <v>8570741056.2835388</v>
      </c>
      <c r="F9" s="74"/>
      <c r="G9" s="38">
        <v>-20</v>
      </c>
      <c r="H9" s="30">
        <v>21165500250.593857</v>
      </c>
      <c r="I9" s="73"/>
      <c r="J9" s="38">
        <v>-20</v>
      </c>
      <c r="K9" s="16">
        <v>34100131585.14249</v>
      </c>
      <c r="L9" s="74"/>
      <c r="M9" s="38">
        <v>-20</v>
      </c>
      <c r="N9" s="16">
        <v>14152935023.022896</v>
      </c>
      <c r="O9" s="74"/>
      <c r="P9" s="38">
        <v>-20</v>
      </c>
      <c r="Q9" s="30">
        <v>28599881697.869652</v>
      </c>
    </row>
    <row r="10" spans="1:17" ht="16.5" thickTop="1" thickBot="1" x14ac:dyDescent="0.3">
      <c r="A10" s="38">
        <v>-10</v>
      </c>
      <c r="B10" s="30">
        <v>23166269518.689632</v>
      </c>
      <c r="C10" s="74"/>
      <c r="D10" s="38">
        <v>-10</v>
      </c>
      <c r="E10" s="16">
        <v>14294420573.438683</v>
      </c>
      <c r="F10" s="74"/>
      <c r="G10" s="38">
        <v>-10</v>
      </c>
      <c r="H10" s="30">
        <v>20591800170.593857</v>
      </c>
      <c r="I10" s="73"/>
      <c r="J10" s="38">
        <v>-10</v>
      </c>
      <c r="K10" s="16">
        <v>30773806561.506081</v>
      </c>
      <c r="L10" s="74"/>
      <c r="M10" s="38">
        <v>-10</v>
      </c>
      <c r="N10" s="16">
        <v>20800208280.446274</v>
      </c>
      <c r="O10" s="74"/>
      <c r="P10" s="38">
        <v>-10</v>
      </c>
      <c r="Q10" s="30">
        <v>28023681617.869659</v>
      </c>
    </row>
    <row r="11" spans="1:17" ht="16.5" thickTop="1" thickBot="1" x14ac:dyDescent="0.3">
      <c r="A11" s="38">
        <v>0</v>
      </c>
      <c r="B11" s="30">
        <v>20018100090.593857</v>
      </c>
      <c r="C11" s="74"/>
      <c r="D11" s="38">
        <v>0</v>
      </c>
      <c r="E11" s="30">
        <v>20018100090.593857</v>
      </c>
      <c r="F11" s="74"/>
      <c r="G11" s="38">
        <v>0</v>
      </c>
      <c r="H11" s="30">
        <v>20018100090.593857</v>
      </c>
      <c r="I11" s="73"/>
      <c r="J11" s="38">
        <v>0</v>
      </c>
      <c r="K11" s="30">
        <v>27447481537.869659</v>
      </c>
      <c r="L11" s="74"/>
      <c r="M11" s="38">
        <v>0</v>
      </c>
      <c r="N11" s="30">
        <v>27447481537.869659</v>
      </c>
      <c r="O11" s="74"/>
      <c r="P11" s="38">
        <v>0</v>
      </c>
      <c r="Q11" s="30">
        <v>27447481537.869659</v>
      </c>
    </row>
    <row r="12" spans="1:17" ht="16.5" thickTop="1" thickBot="1" x14ac:dyDescent="0.3">
      <c r="A12" s="38">
        <v>10</v>
      </c>
      <c r="B12" s="30">
        <v>16869930662.498077</v>
      </c>
      <c r="C12" s="74"/>
      <c r="D12" s="38">
        <v>10</v>
      </c>
      <c r="E12" s="16">
        <v>25741779607.749008</v>
      </c>
      <c r="F12" s="74"/>
      <c r="G12" s="38">
        <v>10</v>
      </c>
      <c r="H12" s="30">
        <v>19444400010.593857</v>
      </c>
      <c r="I12" s="73"/>
      <c r="J12" s="38">
        <v>10</v>
      </c>
      <c r="K12" s="16">
        <v>24121156514.233246</v>
      </c>
      <c r="L12" s="74"/>
      <c r="M12" s="38">
        <v>10</v>
      </c>
      <c r="N12" s="16">
        <v>34094754795.293037</v>
      </c>
      <c r="O12" s="74"/>
      <c r="P12" s="38">
        <v>10</v>
      </c>
      <c r="Q12" s="30">
        <v>26871281457.869659</v>
      </c>
    </row>
    <row r="13" spans="1:17" ht="16.5" thickTop="1" thickBot="1" x14ac:dyDescent="0.3">
      <c r="A13" s="38">
        <v>20</v>
      </c>
      <c r="B13" s="16">
        <v>13721761234.402306</v>
      </c>
      <c r="C13" s="74"/>
      <c r="D13" s="38">
        <v>20</v>
      </c>
      <c r="E13" s="16">
        <v>31465459124.90419</v>
      </c>
      <c r="F13" s="74"/>
      <c r="G13" s="38">
        <v>20</v>
      </c>
      <c r="H13" s="16">
        <v>18870699930.593857</v>
      </c>
      <c r="I13" s="73"/>
      <c r="J13" s="38">
        <v>20</v>
      </c>
      <c r="K13" s="16">
        <v>20794831490.596832</v>
      </c>
      <c r="L13" s="74"/>
      <c r="M13" s="38">
        <v>20</v>
      </c>
      <c r="N13" s="16">
        <v>40742028052.716423</v>
      </c>
      <c r="O13" s="74"/>
      <c r="P13" s="38">
        <v>20</v>
      </c>
      <c r="Q13" s="16">
        <v>26295081377.869659</v>
      </c>
    </row>
    <row r="14" spans="1:17" ht="16.5" thickTop="1" thickBot="1" x14ac:dyDescent="0.3">
      <c r="A14" s="38">
        <v>30</v>
      </c>
      <c r="B14" s="16">
        <v>10573591806.306534</v>
      </c>
      <c r="C14" s="74"/>
      <c r="D14" s="38">
        <v>30</v>
      </c>
      <c r="E14" s="16">
        <v>37189138642.059334</v>
      </c>
      <c r="F14" s="74"/>
      <c r="G14" s="38">
        <v>30</v>
      </c>
      <c r="H14" s="16">
        <v>18296999850.593857</v>
      </c>
      <c r="I14" s="73"/>
      <c r="J14" s="38">
        <v>30</v>
      </c>
      <c r="K14" s="16">
        <v>17468506466.960419</v>
      </c>
      <c r="L14" s="74"/>
      <c r="M14" s="38">
        <v>30</v>
      </c>
      <c r="N14" s="16">
        <v>47389301310.139809</v>
      </c>
      <c r="O14" s="74"/>
      <c r="P14" s="38">
        <v>30</v>
      </c>
      <c r="Q14" s="16">
        <v>25718881297.869659</v>
      </c>
    </row>
    <row r="15" spans="1:17" ht="16.5" thickTop="1" thickBot="1" x14ac:dyDescent="0.3">
      <c r="A15" s="38">
        <v>40</v>
      </c>
      <c r="B15" s="16">
        <v>7425422378.210762</v>
      </c>
      <c r="C15" s="74"/>
      <c r="D15" s="38">
        <v>40</v>
      </c>
      <c r="E15" s="16">
        <v>42912818159.2145</v>
      </c>
      <c r="F15" s="74"/>
      <c r="G15" s="38">
        <v>40</v>
      </c>
      <c r="H15" s="16">
        <v>17723299770.593857</v>
      </c>
      <c r="I15" s="73"/>
      <c r="J15" s="38">
        <v>40</v>
      </c>
      <c r="K15" s="16">
        <v>14142181443.323997</v>
      </c>
      <c r="L15" s="74"/>
      <c r="M15" s="38">
        <v>40</v>
      </c>
      <c r="N15" s="16">
        <v>54036574567.563179</v>
      </c>
      <c r="O15" s="74"/>
      <c r="P15" s="38">
        <v>40</v>
      </c>
      <c r="Q15" s="16">
        <v>25142681217.869659</v>
      </c>
    </row>
    <row r="16" spans="1:17" ht="15" customHeight="1" thickTop="1" thickBot="1" x14ac:dyDescent="0.3">
      <c r="A16" s="38">
        <v>50</v>
      </c>
      <c r="B16" s="16">
        <v>4277252950.1149902</v>
      </c>
      <c r="C16" s="74"/>
      <c r="D16" s="38">
        <v>50</v>
      </c>
      <c r="E16" s="26">
        <v>48636497676.369667</v>
      </c>
      <c r="F16" s="74"/>
      <c r="G16" s="38">
        <v>50</v>
      </c>
      <c r="H16" s="16">
        <v>17149599690.593857</v>
      </c>
      <c r="I16" s="73"/>
      <c r="J16" s="38">
        <v>50</v>
      </c>
      <c r="K16" s="26">
        <v>10815856419.687576</v>
      </c>
      <c r="L16" s="74"/>
      <c r="M16" s="38">
        <v>50</v>
      </c>
      <c r="N16" s="16">
        <v>60683847824.986565</v>
      </c>
      <c r="O16" s="74"/>
      <c r="P16" s="38">
        <v>50</v>
      </c>
      <c r="Q16" s="16">
        <v>24566481137.869659</v>
      </c>
    </row>
    <row r="17" spans="4:11" ht="15" customHeight="1" thickTop="1" x14ac:dyDescent="0.25">
      <c r="D17" s="23"/>
      <c r="E17" s="23"/>
      <c r="F17" s="23"/>
      <c r="G17" s="23"/>
      <c r="H17" s="23"/>
      <c r="K17" s="23"/>
    </row>
    <row r="18" spans="4:11" ht="15" customHeight="1" x14ac:dyDescent="0.25">
      <c r="D18" s="23"/>
      <c r="E18" s="23"/>
      <c r="F18" s="23"/>
      <c r="G18" s="23"/>
      <c r="H18" s="23"/>
      <c r="K18" s="23"/>
    </row>
    <row r="19" spans="4:11" ht="15" customHeight="1" x14ac:dyDescent="0.25">
      <c r="D19" s="23"/>
      <c r="E19" s="23"/>
      <c r="F19" s="23"/>
      <c r="G19" s="23"/>
      <c r="H19" s="23"/>
      <c r="I19" s="23"/>
      <c r="J19" s="23"/>
      <c r="K19" s="23"/>
    </row>
    <row r="20" spans="4:11" ht="15" customHeight="1" x14ac:dyDescent="0.25">
      <c r="D20" s="23"/>
      <c r="E20" s="23"/>
      <c r="F20" s="23"/>
      <c r="G20" s="23"/>
      <c r="H20" s="23"/>
      <c r="I20" s="23"/>
      <c r="J20" s="23"/>
      <c r="K20" s="23"/>
    </row>
    <row r="21" spans="4:11" ht="15" customHeight="1" x14ac:dyDescent="0.25">
      <c r="D21" s="23"/>
      <c r="E21" s="23"/>
      <c r="F21" s="23"/>
      <c r="G21" s="23"/>
      <c r="H21" s="23"/>
      <c r="I21" s="23"/>
      <c r="J21" s="23"/>
      <c r="K21" s="23"/>
    </row>
    <row r="22" spans="4:11" ht="15" customHeight="1" x14ac:dyDescent="0.25">
      <c r="D22" s="23"/>
      <c r="E22" s="23"/>
      <c r="F22" s="23"/>
      <c r="G22" s="23"/>
      <c r="H22" s="23"/>
      <c r="I22" s="23"/>
      <c r="J22" s="23"/>
      <c r="K22" s="23"/>
    </row>
    <row r="23" spans="4:11" ht="15" customHeight="1" x14ac:dyDescent="0.25">
      <c r="D23" s="23"/>
      <c r="E23" s="23"/>
      <c r="F23" s="23"/>
      <c r="G23" s="23"/>
      <c r="H23" s="23"/>
      <c r="I23" s="23"/>
      <c r="J23" s="23"/>
      <c r="K23" s="23"/>
    </row>
    <row r="24" spans="4:11" ht="15" customHeight="1" x14ac:dyDescent="0.25">
      <c r="D24" s="23"/>
      <c r="E24" s="23"/>
      <c r="F24" s="23"/>
      <c r="G24" s="23"/>
      <c r="H24" s="23"/>
      <c r="I24" s="23"/>
      <c r="J24" s="23"/>
      <c r="K24" s="23"/>
    </row>
    <row r="25" spans="4:11" ht="15" customHeight="1" x14ac:dyDescent="0.25">
      <c r="D25" s="23"/>
      <c r="E25" s="23"/>
      <c r="F25" s="23"/>
      <c r="G25" s="23"/>
      <c r="H25" s="23"/>
      <c r="I25" s="23"/>
      <c r="J25" s="23"/>
      <c r="K25" s="23"/>
    </row>
    <row r="26" spans="4:11" ht="15" customHeight="1" x14ac:dyDescent="0.25">
      <c r="D26" s="23"/>
      <c r="E26" s="23"/>
      <c r="F26" s="23"/>
      <c r="G26" s="23"/>
      <c r="H26" s="23"/>
      <c r="I26" s="23"/>
      <c r="J26" s="23"/>
      <c r="K26" s="23"/>
    </row>
    <row r="27" spans="4:11" ht="15" customHeight="1" x14ac:dyDescent="0.25">
      <c r="D27" s="23"/>
      <c r="E27" s="23"/>
      <c r="F27" s="23"/>
      <c r="G27" s="23"/>
      <c r="H27" s="23"/>
      <c r="I27" s="23"/>
      <c r="J27" s="23"/>
      <c r="K27" s="23"/>
    </row>
    <row r="28" spans="4:11" ht="15" customHeight="1" x14ac:dyDescent="0.25">
      <c r="D28" s="23"/>
      <c r="E28" s="23"/>
      <c r="F28" s="23"/>
      <c r="G28" s="23"/>
      <c r="H28" s="23"/>
      <c r="I28" s="23"/>
      <c r="J28" s="23"/>
      <c r="K28" s="23"/>
    </row>
    <row r="29" spans="4:11" ht="15" customHeight="1" x14ac:dyDescent="0.25"/>
    <row r="30" spans="4:11" ht="15" customHeight="1" x14ac:dyDescent="0.25"/>
    <row r="31" spans="4:11" ht="15" customHeight="1" x14ac:dyDescent="0.25"/>
    <row r="32" spans="4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</sheetData>
  <mergeCells count="18">
    <mergeCell ref="A3:B4"/>
    <mergeCell ref="D3:E4"/>
    <mergeCell ref="O3:O4"/>
    <mergeCell ref="P3:Q4"/>
    <mergeCell ref="L5:L16"/>
    <mergeCell ref="O5:O16"/>
    <mergeCell ref="A1:Q1"/>
    <mergeCell ref="A2:H2"/>
    <mergeCell ref="C3:C4"/>
    <mergeCell ref="F3:F4"/>
    <mergeCell ref="I2:I16"/>
    <mergeCell ref="C5:C16"/>
    <mergeCell ref="G3:H4"/>
    <mergeCell ref="F5:F16"/>
    <mergeCell ref="J2:Q2"/>
    <mergeCell ref="J3:K4"/>
    <mergeCell ref="L3:L4"/>
    <mergeCell ref="M3:N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Details</vt:lpstr>
      <vt:lpstr>FastFood</vt:lpstr>
      <vt:lpstr>TakeAway</vt:lpstr>
      <vt:lpstr>NPW</vt:lpstr>
      <vt:lpstr>NFW</vt:lpstr>
      <vt:lpstr>Annual</vt:lpstr>
      <vt:lpstr>BenefitCost</vt:lpstr>
      <vt:lpstr>RoR &amp; PP</vt:lpstr>
      <vt:lpstr>Sensitivity1</vt:lpstr>
      <vt:lpstr>Sensitivity2</vt:lpstr>
      <vt:lpstr>Sensitivity3</vt:lpstr>
      <vt:lpstr>Sensitivity4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2020-06-06T19:47:08Z</dcterms:modified>
</cp:coreProperties>
</file>