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2\"/>
    </mc:Choice>
  </mc:AlternateContent>
  <xr:revisionPtr revIDLastSave="0" documentId="13_ncr:1_{C4F13EFF-0337-4B1D-804E-F733DACDA6DB}" xr6:coauthVersionLast="45" xr6:coauthVersionMax="45" xr10:uidLastSave="{00000000-0000-0000-0000-000000000000}"/>
  <bookViews>
    <workbookView xWindow="-120" yWindow="-120" windowWidth="29040" windowHeight="15840" tabRatio="855" activeTab="1" xr2:uid="{0DA45548-98BA-45EB-B496-66ECDD9953E4}"/>
  </bookViews>
  <sheets>
    <sheet name="Notes" sheetId="19" r:id="rId1"/>
    <sheet name="Scratch Pad" sheetId="33" r:id="rId2"/>
    <sheet name="Ch 6 Discrete Prob Dist" sheetId="21" r:id="rId3"/>
    <sheet name="Frequency Tables Ex Ch6" sheetId="22" r:id="rId4"/>
    <sheet name="When to use what formula" sheetId="28" r:id="rId5"/>
    <sheet name="Binomial Prob Dist Ex Ch6" sheetId="23" r:id="rId6"/>
    <sheet name="Hypergeometric Ex Ch6" sheetId="25" r:id="rId7"/>
    <sheet name="Poisson Prob Dist Ex Ch6" sheetId="27" r:id="rId8"/>
    <sheet name="Ch 7 Continuous Prob Dist" sheetId="6" r:id="rId9"/>
    <sheet name="Uniform Distribution" sheetId="29" r:id="rId10"/>
    <sheet name="Normal Distribution" sheetId="30" r:id="rId11"/>
    <sheet name="Exponential Distribution" sheetId="31" r:id="rId12"/>
    <sheet name="Ch 8 Sampling and Central Limit" sheetId="4" r:id="rId13"/>
    <sheet name="Ch 9 Estimation and Conf Interv" sheetId="32" r:id="rId14"/>
    <sheet name="z-Table" sheetId="2" r:id="rId15"/>
    <sheet name="t-Table" sheetId="3" r:id="rId16"/>
    <sheet name="Ch 9 Review" sheetId="1" r:id="rId17"/>
    <sheet name="Review 1" sheetId="8" r:id="rId18"/>
    <sheet name="Review 2" sheetId="9" r:id="rId19"/>
    <sheet name="Review 3" sheetId="10" r:id="rId20"/>
    <sheet name="Review 4" sheetId="11" r:id="rId21"/>
    <sheet name="Review 5" sheetId="12" r:id="rId22"/>
    <sheet name="Review 6" sheetId="13" r:id="rId23"/>
    <sheet name="Review 7" sheetId="14" r:id="rId24"/>
    <sheet name="1" sheetId="15" r:id="rId25"/>
    <sheet name="2" sheetId="16" r:id="rId26"/>
    <sheet name="3" sheetId="17" r:id="rId27"/>
    <sheet name="4" sheetId="18" r:id="rId28"/>
  </sheets>
  <definedNames>
    <definedName name="_binomial">'Binomial Prob Dist Ex Ch6'!$A$1</definedName>
    <definedName name="_binomial_formulas">'Binomial Prob Dist Ex Ch6'!$E$43:$J$65</definedName>
    <definedName name="_continuous_probability_distribution">'Ch 7 Continuous Prob Dist'!$A$1</definedName>
    <definedName name="_discrete_probability_distributions">'Ch 6 Discrete Prob Dist'!$A$1</definedName>
    <definedName name="_empirical_rule">'Normal Distribution'!$A$49</definedName>
    <definedName name="_exponential_formulas">'Exponential Distribution'!$B$48:$D$66</definedName>
    <definedName name="_formula_picker">'When to use what formula'!$A$1</definedName>
    <definedName name="_hypergeo_formulas">'Hypergeometric Ex Ch6'!$D$25:$I$45</definedName>
    <definedName name="_hypergeometric">'Hypergeometric Ex Ch6'!$A$1</definedName>
    <definedName name="_normal_formulas">'Normal Distribution'!$B$78:$E$90</definedName>
    <definedName name="_normal_probability_distribution">'Normal Distribution'!$A$1</definedName>
    <definedName name="_poisson">'Poisson Prob Dist Ex Ch6'!$A$1</definedName>
    <definedName name="_poisson_formulas">'Poisson Prob Dist Ex Ch6'!$D$33:$I$52</definedName>
    <definedName name="_randVar">'When to use what formula'!$J$10</definedName>
    <definedName name="_std_norm_formulas_known_sigma">'Ch 8 Sampling and Central Limit'!$J$41:$L$77</definedName>
    <definedName name="_success">'When to use what formula'!$J$13</definedName>
    <definedName name="_t_table">'t-Table'!$A$1</definedName>
    <definedName name="_uniform_formulas">'Uniform Distribution'!$B$27:$C$36</definedName>
    <definedName name="_uniform_probability">'Uniform Distribution'!$A$1</definedName>
    <definedName name="_xlchart.v1.0" hidden="1">'Ch 8 Sampling and Central Limit'!$T$28:$T$33</definedName>
    <definedName name="_xlchart.v1.1" hidden="1">'Ch 8 Sampling and Central Limit'!$AQ$27:$AQ$46</definedName>
    <definedName name="_xlchart.v1.2" hidden="1">'Ch 8 Sampling and Central Limit'!$AK$28:$AK$33</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42" i="32" l="1"/>
  <c r="S212" i="32"/>
  <c r="U227" i="32"/>
  <c r="U225" i="32"/>
  <c r="U223" i="32"/>
  <c r="Y192" i="32"/>
  <c r="Y191" i="32"/>
  <c r="V189" i="32"/>
  <c r="V188" i="32"/>
  <c r="V187" i="32"/>
  <c r="U198" i="32"/>
  <c r="U203" i="32" s="1"/>
  <c r="U197" i="32"/>
  <c r="U196" i="32"/>
  <c r="U202" i="32"/>
  <c r="V177" i="32"/>
  <c r="V180" i="32" s="1"/>
  <c r="AD161" i="32"/>
  <c r="AD159" i="32"/>
  <c r="AD164" i="32" s="1"/>
  <c r="U158" i="32" s="1"/>
  <c r="AD157" i="32"/>
  <c r="AC142" i="32"/>
  <c r="V145" i="32"/>
  <c r="V144" i="32"/>
  <c r="S142" i="32"/>
  <c r="S141" i="32"/>
  <c r="AC144" i="32"/>
  <c r="AC145" i="32" s="1"/>
  <c r="AC149" i="32"/>
  <c r="S132" i="32"/>
  <c r="AD134" i="32"/>
  <c r="S121" i="32"/>
  <c r="AD124" i="32"/>
  <c r="U113" i="32"/>
  <c r="U112" i="32"/>
  <c r="R110" i="32"/>
  <c r="O14" i="2"/>
  <c r="AE112" i="32"/>
  <c r="AE110" i="32"/>
  <c r="AE108" i="32"/>
  <c r="T98" i="32"/>
  <c r="T97" i="32"/>
  <c r="AB55" i="32"/>
  <c r="AC94" i="32"/>
  <c r="AC99" i="32" s="1"/>
  <c r="AC98" i="32"/>
  <c r="AC96" i="32"/>
  <c r="AC77" i="32"/>
  <c r="AC76" i="32"/>
  <c r="AC75" i="32"/>
  <c r="AC83" i="32"/>
  <c r="AC81" i="32"/>
  <c r="AC79" i="32"/>
  <c r="AD68" i="32"/>
  <c r="R63" i="32" s="1"/>
  <c r="R68" i="32"/>
  <c r="AD64" i="32"/>
  <c r="AD66" i="32"/>
  <c r="AD70" i="32" s="1"/>
  <c r="S49" i="32"/>
  <c r="AB54" i="32"/>
  <c r="AB56" i="32" s="1"/>
  <c r="U52" i="32" s="1"/>
  <c r="AB52" i="32"/>
  <c r="AB50" i="32"/>
  <c r="AB49" i="32"/>
  <c r="AB45" i="32"/>
  <c r="AD25" i="32"/>
  <c r="Z28" i="32" s="1"/>
  <c r="AD34" i="32"/>
  <c r="AD35" i="32" s="1"/>
  <c r="U31" i="32" s="1"/>
  <c r="AD32" i="32"/>
  <c r="AD30" i="32"/>
  <c r="AD29" i="32"/>
  <c r="V19" i="32"/>
  <c r="V21" i="32" s="1"/>
  <c r="V8" i="32" s="1"/>
  <c r="V15" i="32"/>
  <c r="K48" i="4"/>
  <c r="K47" i="4"/>
  <c r="V17" i="32"/>
  <c r="S2" i="32"/>
  <c r="V14" i="32"/>
  <c r="J75" i="4"/>
  <c r="J74" i="4"/>
  <c r="J76" i="4" s="1"/>
  <c r="K71" i="4"/>
  <c r="K73" i="4" s="1"/>
  <c r="K75" i="4" s="1"/>
  <c r="K70" i="4"/>
  <c r="K72" i="4" s="1"/>
  <c r="K74" i="4" s="1"/>
  <c r="K76" i="4" s="1"/>
  <c r="K77" i="4" s="1"/>
  <c r="K69" i="4"/>
  <c r="K68" i="4"/>
  <c r="J77" i="4" s="1"/>
  <c r="J65" i="4"/>
  <c r="J63" i="4"/>
  <c r="J62" i="4"/>
  <c r="J61" i="4"/>
  <c r="K55" i="4"/>
  <c r="K54" i="4"/>
  <c r="K58" i="4" s="1"/>
  <c r="K53" i="4"/>
  <c r="J51" i="4"/>
  <c r="J50" i="4"/>
  <c r="J49" i="4"/>
  <c r="K46" i="4"/>
  <c r="K45" i="4"/>
  <c r="AJ242" i="4"/>
  <c r="AK242" i="4"/>
  <c r="AK241" i="4"/>
  <c r="AJ241" i="4"/>
  <c r="AJ240" i="4"/>
  <c r="AL99" i="4"/>
  <c r="AM97" i="4"/>
  <c r="AL97" i="4"/>
  <c r="AM96" i="4"/>
  <c r="AM98" i="4" s="1"/>
  <c r="AL96" i="4"/>
  <c r="AL98" i="4" s="1"/>
  <c r="AL144" i="4"/>
  <c r="AM142" i="4"/>
  <c r="AL142" i="4"/>
  <c r="AM141" i="4"/>
  <c r="AM143" i="4" s="1"/>
  <c r="AM144" i="4" s="1"/>
  <c r="AL141" i="4"/>
  <c r="AL143" i="4" s="1"/>
  <c r="AK187" i="4"/>
  <c r="AL185" i="4"/>
  <c r="AK185" i="4"/>
  <c r="AL184" i="4"/>
  <c r="AL186" i="4" s="1"/>
  <c r="AL187" i="4" s="1"/>
  <c r="AK184" i="4"/>
  <c r="AK186" i="4" s="1"/>
  <c r="AL233" i="4"/>
  <c r="AM231" i="4"/>
  <c r="AL231" i="4"/>
  <c r="AM230" i="4"/>
  <c r="AM232" i="4" s="1"/>
  <c r="AM233" i="4" s="1"/>
  <c r="AL230" i="4"/>
  <c r="AL232" i="4" s="1"/>
  <c r="AL279" i="4"/>
  <c r="AL278" i="4"/>
  <c r="AL277" i="4"/>
  <c r="AM277" i="4"/>
  <c r="AK240" i="4"/>
  <c r="AK239" i="4"/>
  <c r="AM272" i="4"/>
  <c r="AM274" i="4" s="1"/>
  <c r="AM276" i="4" s="1"/>
  <c r="AM278" i="4" s="1"/>
  <c r="AM271" i="4"/>
  <c r="AL268" i="4"/>
  <c r="AL266" i="4"/>
  <c r="AL265" i="4"/>
  <c r="AL264" i="4"/>
  <c r="AM258" i="4"/>
  <c r="AM257" i="4"/>
  <c r="AM261" i="4" s="1"/>
  <c r="AM256" i="4"/>
  <c r="AL254" i="4"/>
  <c r="AL253" i="4"/>
  <c r="AL252" i="4"/>
  <c r="AM250" i="4"/>
  <c r="AM251" i="4" s="1"/>
  <c r="AM249" i="4"/>
  <c r="AM248" i="4"/>
  <c r="AJ195" i="4"/>
  <c r="AJ194" i="4"/>
  <c r="AJ193" i="4"/>
  <c r="AM225" i="4"/>
  <c r="AM227" i="4" s="1"/>
  <c r="AM229" i="4" s="1"/>
  <c r="AM224" i="4"/>
  <c r="AL221" i="4"/>
  <c r="AL219" i="4"/>
  <c r="AL218" i="4"/>
  <c r="AM213" i="4"/>
  <c r="AM211" i="4"/>
  <c r="AM214" i="4" s="1"/>
  <c r="AM210" i="4"/>
  <c r="AM209" i="4"/>
  <c r="AL207" i="4"/>
  <c r="AL206" i="4"/>
  <c r="AL205" i="4"/>
  <c r="AM203" i="4"/>
  <c r="AM204" i="4" s="1"/>
  <c r="AM202" i="4"/>
  <c r="AM201" i="4"/>
  <c r="AM122" i="4"/>
  <c r="AM121" i="4"/>
  <c r="AM120" i="4"/>
  <c r="AL165" i="4"/>
  <c r="AL164" i="4"/>
  <c r="AL167" i="4" s="1"/>
  <c r="AL163" i="4"/>
  <c r="AL179" i="4"/>
  <c r="AL181" i="4" s="1"/>
  <c r="AL183" i="4" s="1"/>
  <c r="AL178" i="4"/>
  <c r="AK175" i="4"/>
  <c r="AK173" i="4"/>
  <c r="AK172" i="4"/>
  <c r="AK161" i="4"/>
  <c r="AK160" i="4"/>
  <c r="AK159" i="4"/>
  <c r="AL157" i="4"/>
  <c r="AL158" i="4" s="1"/>
  <c r="AL156" i="4"/>
  <c r="AL155" i="4"/>
  <c r="AM84" i="4"/>
  <c r="AM85" i="4" s="1"/>
  <c r="AM83" i="4"/>
  <c r="AM71" i="4"/>
  <c r="AM72" i="4" s="1"/>
  <c r="AM73" i="4" s="1"/>
  <c r="AM70" i="4"/>
  <c r="AM117" i="4"/>
  <c r="AM116" i="4"/>
  <c r="AM136" i="4"/>
  <c r="AM135" i="4"/>
  <c r="AL132" i="4"/>
  <c r="AL130" i="4"/>
  <c r="AL129" i="4"/>
  <c r="AL128" i="4"/>
  <c r="AM126" i="4"/>
  <c r="AM127" i="4" s="1"/>
  <c r="AM125" i="4"/>
  <c r="AM124" i="4"/>
  <c r="AL118" i="4"/>
  <c r="AL117" i="4"/>
  <c r="AL116" i="4"/>
  <c r="AM114" i="4"/>
  <c r="AM115" i="4" s="1"/>
  <c r="AM113" i="4"/>
  <c r="AM112" i="4"/>
  <c r="AL83" i="4"/>
  <c r="AM95" i="4"/>
  <c r="AM94" i="4"/>
  <c r="AM82" i="4"/>
  <c r="AM92" i="4"/>
  <c r="AM93" i="4"/>
  <c r="AM69" i="4"/>
  <c r="AM81" i="4"/>
  <c r="AM91" i="4"/>
  <c r="AM90" i="4"/>
  <c r="AL87" i="4"/>
  <c r="AL85" i="4"/>
  <c r="AL84" i="4"/>
  <c r="AM80" i="4"/>
  <c r="AM79" i="4"/>
  <c r="AL71" i="4"/>
  <c r="AL73" i="4"/>
  <c r="AL72" i="4"/>
  <c r="O5" i="2"/>
  <c r="AM68" i="4"/>
  <c r="AJ57" i="4" s="1"/>
  <c r="AM67" i="4"/>
  <c r="AY35" i="4"/>
  <c r="AK36" i="4"/>
  <c r="AK35" i="4"/>
  <c r="AK34" i="4"/>
  <c r="AQ28" i="4"/>
  <c r="AR28" i="4"/>
  <c r="AS28" i="4"/>
  <c r="AQ29" i="4"/>
  <c r="AR29" i="4"/>
  <c r="AS29" i="4"/>
  <c r="AQ30" i="4"/>
  <c r="AR30" i="4"/>
  <c r="AS30" i="4"/>
  <c r="AQ31" i="4"/>
  <c r="AR31" i="4"/>
  <c r="AS31" i="4"/>
  <c r="AQ32" i="4"/>
  <c r="AR32" i="4"/>
  <c r="AS32" i="4"/>
  <c r="AQ33" i="4"/>
  <c r="AR33" i="4"/>
  <c r="AS33" i="4"/>
  <c r="AQ34" i="4"/>
  <c r="AR34" i="4"/>
  <c r="AS34" i="4"/>
  <c r="AQ35" i="4"/>
  <c r="AR35" i="4"/>
  <c r="AS35" i="4"/>
  <c r="AQ36" i="4"/>
  <c r="AR36" i="4"/>
  <c r="AS36" i="4"/>
  <c r="AQ37" i="4"/>
  <c r="AR37" i="4"/>
  <c r="AS37" i="4"/>
  <c r="AQ38" i="4"/>
  <c r="AR38" i="4"/>
  <c r="AS38" i="4"/>
  <c r="AQ39" i="4"/>
  <c r="AR39" i="4"/>
  <c r="AS39" i="4"/>
  <c r="AQ40" i="4"/>
  <c r="AR40" i="4"/>
  <c r="AS40" i="4"/>
  <c r="AQ41" i="4"/>
  <c r="AR41" i="4"/>
  <c r="AS41" i="4"/>
  <c r="AQ42" i="4"/>
  <c r="AR42" i="4"/>
  <c r="AS42" i="4"/>
  <c r="AQ43" i="4"/>
  <c r="AR43" i="4"/>
  <c r="AS43" i="4"/>
  <c r="AQ44" i="4"/>
  <c r="AR44" i="4"/>
  <c r="AS44" i="4"/>
  <c r="AQ45" i="4"/>
  <c r="AR45" i="4"/>
  <c r="AS45" i="4"/>
  <c r="AQ46" i="4"/>
  <c r="AR46" i="4"/>
  <c r="AS46" i="4"/>
  <c r="AS27" i="4"/>
  <c r="AR27" i="4"/>
  <c r="AQ27" i="4"/>
  <c r="AW27" i="4"/>
  <c r="AW29" i="4" s="1"/>
  <c r="AN7" i="4"/>
  <c r="AO7" i="4"/>
  <c r="AP7" i="4"/>
  <c r="AQ7" i="4"/>
  <c r="AR7" i="4"/>
  <c r="AR10" i="4" s="1"/>
  <c r="AS7" i="4"/>
  <c r="AS10" i="4" s="1"/>
  <c r="AT7" i="4"/>
  <c r="AU7" i="4"/>
  <c r="AO8" i="4"/>
  <c r="AP8" i="4"/>
  <c r="AQ8" i="4"/>
  <c r="AR8" i="4"/>
  <c r="AS8" i="4"/>
  <c r="AT8" i="4"/>
  <c r="AU8" i="4"/>
  <c r="AO9" i="4"/>
  <c r="AP9" i="4"/>
  <c r="AP10" i="4" s="1"/>
  <c r="AQ9" i="4"/>
  <c r="AR9" i="4"/>
  <c r="AS9" i="4"/>
  <c r="AT9" i="4"/>
  <c r="AT10" i="4" s="1"/>
  <c r="AU9" i="4"/>
  <c r="AK11" i="4"/>
  <c r="AK10" i="4"/>
  <c r="AK9" i="4"/>
  <c r="AO16" i="4" s="1"/>
  <c r="AN9" i="4"/>
  <c r="AN8" i="4"/>
  <c r="D90" i="30"/>
  <c r="D88" i="30"/>
  <c r="D85" i="30"/>
  <c r="B85" i="30"/>
  <c r="D84" i="30"/>
  <c r="B84" i="30"/>
  <c r="D83" i="30"/>
  <c r="B83" i="30"/>
  <c r="D82" i="30"/>
  <c r="B81" i="30"/>
  <c r="D66" i="31"/>
  <c r="C63" i="31"/>
  <c r="C61" i="31"/>
  <c r="D60" i="31"/>
  <c r="D61" i="31" s="1"/>
  <c r="D63" i="31" s="1"/>
  <c r="C60" i="31"/>
  <c r="D58" i="31"/>
  <c r="D59" i="31" s="1"/>
  <c r="D53" i="31"/>
  <c r="C53" i="31"/>
  <c r="D52" i="31"/>
  <c r="C52" i="31"/>
  <c r="D51" i="31"/>
  <c r="D50" i="31"/>
  <c r="S29" i="31"/>
  <c r="S32" i="31"/>
  <c r="Z52" i="31"/>
  <c r="Y49" i="31"/>
  <c r="Y47" i="31"/>
  <c r="Y46" i="31"/>
  <c r="Z44" i="31"/>
  <c r="Y39" i="31"/>
  <c r="Z38" i="31"/>
  <c r="Z39" i="31" s="1"/>
  <c r="Y38" i="31"/>
  <c r="Z36" i="31"/>
  <c r="Z37" i="31" s="1"/>
  <c r="U49" i="31"/>
  <c r="U47" i="31"/>
  <c r="U46" i="31"/>
  <c r="V44" i="31"/>
  <c r="U39" i="31"/>
  <c r="U38" i="31"/>
  <c r="V36" i="31"/>
  <c r="O8" i="2"/>
  <c r="AC70" i="30"/>
  <c r="AC62" i="30"/>
  <c r="AC68" i="30"/>
  <c r="AC65" i="30"/>
  <c r="AA65" i="30"/>
  <c r="AC64" i="30"/>
  <c r="AA64" i="30"/>
  <c r="AC63" i="30"/>
  <c r="AA63" i="30"/>
  <c r="AA61" i="30"/>
  <c r="S55" i="30"/>
  <c r="S54" i="30"/>
  <c r="S53" i="30"/>
  <c r="Y65" i="30"/>
  <c r="W65" i="30"/>
  <c r="Y64" i="30"/>
  <c r="W64" i="30"/>
  <c r="Y63" i="30"/>
  <c r="W63" i="30"/>
  <c r="Y62" i="30"/>
  <c r="W61" i="30"/>
  <c r="U65" i="30"/>
  <c r="S65" i="30"/>
  <c r="U64" i="30"/>
  <c r="S64" i="30"/>
  <c r="U63" i="30"/>
  <c r="S63" i="30"/>
  <c r="U62" i="30"/>
  <c r="S61" i="30"/>
  <c r="AB41" i="30"/>
  <c r="AB40" i="30"/>
  <c r="AB39" i="30"/>
  <c r="AB38" i="30"/>
  <c r="AC50" i="30"/>
  <c r="AA50" i="30"/>
  <c r="AC49" i="30"/>
  <c r="AA49" i="30"/>
  <c r="AC48" i="30"/>
  <c r="AA48" i="30"/>
  <c r="AC47" i="30"/>
  <c r="AA46" i="30"/>
  <c r="Y50" i="30"/>
  <c r="W50" i="30"/>
  <c r="Y49" i="30"/>
  <c r="W49" i="30"/>
  <c r="Y48" i="30"/>
  <c r="W48" i="30"/>
  <c r="Y47" i="30"/>
  <c r="W46" i="30"/>
  <c r="U50" i="30"/>
  <c r="S50" i="30"/>
  <c r="U49" i="30"/>
  <c r="S49" i="30"/>
  <c r="U48" i="30"/>
  <c r="S48" i="30"/>
  <c r="U47" i="30"/>
  <c r="S46" i="30"/>
  <c r="T57" i="29"/>
  <c r="S47" i="29" s="1"/>
  <c r="T60" i="29"/>
  <c r="S51" i="29"/>
  <c r="S50" i="29"/>
  <c r="Y62" i="29"/>
  <c r="Z61" i="29"/>
  <c r="Z62" i="29" s="1"/>
  <c r="Y61" i="29"/>
  <c r="Z60" i="29"/>
  <c r="Y60" i="29"/>
  <c r="Z58" i="29"/>
  <c r="Z59" i="29" s="1"/>
  <c r="Z57" i="29"/>
  <c r="V62" i="29"/>
  <c r="W61" i="29"/>
  <c r="W62" i="29" s="1"/>
  <c r="V61" i="29"/>
  <c r="W60" i="29"/>
  <c r="V60" i="29"/>
  <c r="W58" i="29"/>
  <c r="W59" i="29" s="1"/>
  <c r="W57" i="29"/>
  <c r="S62" i="29"/>
  <c r="T61" i="29"/>
  <c r="T62" i="29" s="1"/>
  <c r="S49" i="29" s="1"/>
  <c r="S61" i="29"/>
  <c r="S60" i="29"/>
  <c r="T58" i="29"/>
  <c r="T59" i="29" s="1"/>
  <c r="S48" i="29" s="1"/>
  <c r="W44" i="29"/>
  <c r="X43" i="29"/>
  <c r="X44" i="29" s="1"/>
  <c r="W43" i="29"/>
  <c r="X42" i="29"/>
  <c r="W42" i="29"/>
  <c r="X40" i="29"/>
  <c r="X41" i="29" s="1"/>
  <c r="X39" i="29"/>
  <c r="S44" i="29"/>
  <c r="T43" i="29"/>
  <c r="T44" i="29" s="1"/>
  <c r="S43" i="29"/>
  <c r="T42" i="29"/>
  <c r="S42" i="29"/>
  <c r="T40" i="29"/>
  <c r="T41" i="29" s="1"/>
  <c r="T39" i="29"/>
  <c r="AM25" i="31"/>
  <c r="AN25" i="31"/>
  <c r="AL22" i="31"/>
  <c r="AL20" i="31"/>
  <c r="AL19" i="31"/>
  <c r="AN17" i="31"/>
  <c r="AN18" i="31" s="1"/>
  <c r="AN15" i="31"/>
  <c r="AM15" i="31"/>
  <c r="AM17" i="31" s="1"/>
  <c r="AL12" i="31"/>
  <c r="AL11" i="31"/>
  <c r="AN9" i="31"/>
  <c r="AN10" i="31" s="1"/>
  <c r="AN7" i="31"/>
  <c r="AM7" i="31"/>
  <c r="AM9" i="31" s="1"/>
  <c r="V25" i="31"/>
  <c r="T22" i="31"/>
  <c r="T20" i="31"/>
  <c r="T19" i="31"/>
  <c r="V15" i="31"/>
  <c r="V17" i="31" s="1"/>
  <c r="U15" i="31"/>
  <c r="U17" i="31" s="1"/>
  <c r="T12" i="31"/>
  <c r="T11" i="31"/>
  <c r="V7" i="31"/>
  <c r="V9" i="31" s="1"/>
  <c r="U7" i="31"/>
  <c r="U25" i="31" s="1"/>
  <c r="Z22" i="31"/>
  <c r="Z20" i="31"/>
  <c r="Z19" i="31"/>
  <c r="AB15" i="31"/>
  <c r="AB17" i="31" s="1"/>
  <c r="AA15" i="31"/>
  <c r="AA17" i="31" s="1"/>
  <c r="Z12" i="31"/>
  <c r="Z11" i="31"/>
  <c r="AB7" i="31"/>
  <c r="AB25" i="31" s="1"/>
  <c r="AA7" i="31"/>
  <c r="AA25" i="31" s="1"/>
  <c r="AG25" i="31"/>
  <c r="AF25" i="31"/>
  <c r="AG22" i="31"/>
  <c r="AF22" i="31"/>
  <c r="AE22" i="31"/>
  <c r="AE20" i="31"/>
  <c r="AE19" i="31"/>
  <c r="AG15" i="31"/>
  <c r="AG17" i="31" s="1"/>
  <c r="AF15" i="31"/>
  <c r="AF17" i="31" s="1"/>
  <c r="AG7" i="31"/>
  <c r="AG9" i="31" s="1"/>
  <c r="AF7" i="31"/>
  <c r="AF9" i="31" s="1"/>
  <c r="AF10" i="31" s="1"/>
  <c r="AA28" i="30"/>
  <c r="W28" i="30"/>
  <c r="S28" i="30"/>
  <c r="Z21" i="30"/>
  <c r="Z23" i="30"/>
  <c r="Z22" i="30"/>
  <c r="AC32" i="30"/>
  <c r="AA32" i="30"/>
  <c r="AC31" i="30"/>
  <c r="AA31" i="30"/>
  <c r="AC30" i="30"/>
  <c r="AA30" i="30"/>
  <c r="AC29" i="30"/>
  <c r="Y32" i="30"/>
  <c r="W32" i="30"/>
  <c r="Y31" i="30"/>
  <c r="W31" i="30"/>
  <c r="Y30" i="30"/>
  <c r="W30" i="30"/>
  <c r="Y29" i="30"/>
  <c r="U32" i="30"/>
  <c r="S32" i="30"/>
  <c r="U31" i="30"/>
  <c r="S31" i="30"/>
  <c r="U30" i="30"/>
  <c r="S30" i="30"/>
  <c r="U29" i="30"/>
  <c r="AB18" i="30"/>
  <c r="Z18" i="30"/>
  <c r="AB17" i="30"/>
  <c r="Z17" i="30"/>
  <c r="AB16" i="30"/>
  <c r="Z16" i="30"/>
  <c r="AB15" i="30"/>
  <c r="U18" i="30"/>
  <c r="S18" i="30"/>
  <c r="U17" i="30"/>
  <c r="S17" i="30"/>
  <c r="S16" i="30"/>
  <c r="U16" i="30"/>
  <c r="U15" i="30"/>
  <c r="V9" i="30"/>
  <c r="U9" i="30"/>
  <c r="V8" i="30"/>
  <c r="U8" i="30"/>
  <c r="V7" i="30"/>
  <c r="U7" i="30"/>
  <c r="B36" i="29"/>
  <c r="C35" i="29"/>
  <c r="C36" i="29" s="1"/>
  <c r="B35" i="29"/>
  <c r="C34" i="29"/>
  <c r="B34" i="29"/>
  <c r="C32" i="29"/>
  <c r="C33" i="29" s="1"/>
  <c r="C31" i="29"/>
  <c r="V30" i="29"/>
  <c r="W29" i="29"/>
  <c r="W30" i="29" s="1"/>
  <c r="V29" i="29"/>
  <c r="W28" i="29"/>
  <c r="V28" i="29"/>
  <c r="W26" i="29"/>
  <c r="W27" i="29" s="1"/>
  <c r="W25" i="29"/>
  <c r="U8" i="29"/>
  <c r="U9" i="29" s="1"/>
  <c r="Y8" i="29"/>
  <c r="Y9" i="29" s="1"/>
  <c r="T26" i="29"/>
  <c r="T27" i="29" s="1"/>
  <c r="S30" i="29"/>
  <c r="T29" i="29"/>
  <c r="T30" i="29" s="1"/>
  <c r="S29" i="29"/>
  <c r="T28" i="29"/>
  <c r="S28" i="29"/>
  <c r="T25" i="29"/>
  <c r="X12" i="29"/>
  <c r="Y11" i="29"/>
  <c r="Y12" i="29" s="1"/>
  <c r="X11" i="29"/>
  <c r="Y10" i="29"/>
  <c r="X10" i="29"/>
  <c r="Y7" i="29"/>
  <c r="U10" i="29"/>
  <c r="T12" i="29"/>
  <c r="T11" i="29"/>
  <c r="T10" i="29"/>
  <c r="U11" i="29"/>
  <c r="U12" i="29" s="1"/>
  <c r="U7" i="29"/>
  <c r="U228" i="32" l="1"/>
  <c r="U207" i="32"/>
  <c r="U200" i="32"/>
  <c r="U204" i="32"/>
  <c r="U206" i="32"/>
  <c r="AD160" i="32"/>
  <c r="AD163" i="32"/>
  <c r="U157" i="32" s="1"/>
  <c r="AC146" i="32"/>
  <c r="AC148" i="32"/>
  <c r="AE113" i="32"/>
  <c r="AE115" i="32" s="1"/>
  <c r="AD67" i="32"/>
  <c r="AC101" i="32"/>
  <c r="AC102" i="32"/>
  <c r="R95" i="32"/>
  <c r="AC82" i="32"/>
  <c r="AC86" i="32"/>
  <c r="U89" i="32" s="1"/>
  <c r="AC85" i="32"/>
  <c r="U88" i="32" s="1"/>
  <c r="AD71" i="32"/>
  <c r="U51" i="32"/>
  <c r="AD36" i="32"/>
  <c r="U32" i="32" s="1"/>
  <c r="V20" i="32"/>
  <c r="V7" i="32" s="1"/>
  <c r="K49" i="4"/>
  <c r="K50" i="4"/>
  <c r="K51" i="4" s="1"/>
  <c r="K59" i="4"/>
  <c r="K60" i="4" s="1"/>
  <c r="K57" i="4"/>
  <c r="AJ61" i="4"/>
  <c r="AM99" i="4"/>
  <c r="AL280" i="4"/>
  <c r="AM260" i="4"/>
  <c r="AM262" i="4"/>
  <c r="AM263" i="4" s="1"/>
  <c r="AM264" i="4" s="1"/>
  <c r="AM265" i="4" s="1"/>
  <c r="AM266" i="4" s="1"/>
  <c r="AM252" i="4"/>
  <c r="AM253" i="4" s="1"/>
  <c r="AM254" i="4" s="1"/>
  <c r="AM273" i="4"/>
  <c r="AM275" i="4" s="1"/>
  <c r="AM279" i="4" s="1"/>
  <c r="AL217" i="4"/>
  <c r="AM205" i="4"/>
  <c r="AM206" i="4" s="1"/>
  <c r="AM207" i="4" s="1"/>
  <c r="AM215" i="4"/>
  <c r="AM216" i="4" s="1"/>
  <c r="AM226" i="4"/>
  <c r="AM228" i="4" s="1"/>
  <c r="AL168" i="4"/>
  <c r="AL169" i="4"/>
  <c r="AL170" i="4" s="1"/>
  <c r="AL171" i="4" s="1"/>
  <c r="AK171" i="4"/>
  <c r="AL159" i="4"/>
  <c r="AL160" i="4" s="1"/>
  <c r="AL161" i="4" s="1"/>
  <c r="AL180" i="4"/>
  <c r="AL182" i="4" s="1"/>
  <c r="AM128" i="4"/>
  <c r="AM129" i="4" s="1"/>
  <c r="AM130" i="4" s="1"/>
  <c r="AM138" i="4"/>
  <c r="AM140" i="4" s="1"/>
  <c r="AM118" i="4"/>
  <c r="AM137" i="4"/>
  <c r="AM139" i="4" s="1"/>
  <c r="AJ59" i="4"/>
  <c r="AO10" i="4"/>
  <c r="AU10" i="4"/>
  <c r="AQ10" i="4"/>
  <c r="AK37" i="4"/>
  <c r="AK12" i="4"/>
  <c r="AO20" i="4" s="1"/>
  <c r="AV8" i="4"/>
  <c r="AV7" i="4"/>
  <c r="AV9" i="4"/>
  <c r="AV10" i="4" s="1"/>
  <c r="AQ47" i="4"/>
  <c r="AY34" i="4" s="1"/>
  <c r="AQ49" i="4"/>
  <c r="AQ50" i="4" s="1"/>
  <c r="AQ48" i="4"/>
  <c r="AO19" i="4"/>
  <c r="AO15" i="4"/>
  <c r="AN10" i="4"/>
  <c r="Z45" i="31"/>
  <c r="Z46" i="31"/>
  <c r="Z47" i="31" s="1"/>
  <c r="Z49" i="31" s="1"/>
  <c r="S31" i="31" s="1"/>
  <c r="V45" i="31"/>
  <c r="V46" i="31"/>
  <c r="V47" i="31" s="1"/>
  <c r="S30" i="31" s="1"/>
  <c r="V37" i="31"/>
  <c r="V38" i="31"/>
  <c r="V52" i="31"/>
  <c r="AM10" i="31"/>
  <c r="AM11" i="31"/>
  <c r="AM18" i="31"/>
  <c r="AM19" i="31"/>
  <c r="AM20" i="31" s="1"/>
  <c r="AN11" i="31"/>
  <c r="AN19" i="31"/>
  <c r="AN20" i="31" s="1"/>
  <c r="U19" i="31"/>
  <c r="U20" i="31" s="1"/>
  <c r="U18" i="31"/>
  <c r="V10" i="31"/>
  <c r="V11" i="31"/>
  <c r="V18" i="31"/>
  <c r="V19" i="31"/>
  <c r="V20" i="31" s="1"/>
  <c r="U9" i="31"/>
  <c r="AB19" i="31"/>
  <c r="AB20" i="31" s="1"/>
  <c r="AB18" i="31"/>
  <c r="AA18" i="31"/>
  <c r="AA19" i="31"/>
  <c r="AA20" i="31" s="1"/>
  <c r="AA9" i="31"/>
  <c r="AB9" i="31"/>
  <c r="AF19" i="31"/>
  <c r="AF20" i="31" s="1"/>
  <c r="AF18" i="31"/>
  <c r="AG18" i="31"/>
  <c r="AG19" i="31"/>
  <c r="AG20" i="31" s="1"/>
  <c r="AF11" i="31"/>
  <c r="AF12" i="31" s="1"/>
  <c r="AG11" i="31"/>
  <c r="AG12" i="31" s="1"/>
  <c r="AE12" i="31"/>
  <c r="AE11" i="31"/>
  <c r="AK155" i="23"/>
  <c r="AK153" i="23"/>
  <c r="AK151" i="23"/>
  <c r="AC153" i="23"/>
  <c r="AC161" i="23" s="1"/>
  <c r="AC171" i="23"/>
  <c r="AB169" i="23"/>
  <c r="AB168" i="23"/>
  <c r="AC167" i="23"/>
  <c r="AB167" i="23"/>
  <c r="AB166" i="23"/>
  <c r="AC165" i="23"/>
  <c r="AB165" i="23"/>
  <c r="AB163" i="23"/>
  <c r="AC160" i="23"/>
  <c r="AC157" i="23"/>
  <c r="AC158" i="23" s="1"/>
  <c r="AF151" i="23"/>
  <c r="AF150" i="23"/>
  <c r="AA53" i="27"/>
  <c r="X64" i="27"/>
  <c r="X63" i="27"/>
  <c r="X62" i="27"/>
  <c r="X61" i="27"/>
  <c r="X60" i="27"/>
  <c r="X58" i="27"/>
  <c r="Y57" i="27"/>
  <c r="Y53" i="27"/>
  <c r="Y62" i="27" s="1"/>
  <c r="Y51" i="27"/>
  <c r="V48" i="27"/>
  <c r="AA49" i="27"/>
  <c r="AA51" i="27"/>
  <c r="S51" i="27"/>
  <c r="R64" i="27"/>
  <c r="R63" i="27"/>
  <c r="R62" i="27"/>
  <c r="R61" i="27"/>
  <c r="R60" i="27"/>
  <c r="R58" i="27"/>
  <c r="S57" i="27"/>
  <c r="S53" i="27"/>
  <c r="S62" i="27" s="1"/>
  <c r="V51" i="27"/>
  <c r="V49" i="27"/>
  <c r="AK45" i="25"/>
  <c r="AK42" i="25"/>
  <c r="I25" i="25"/>
  <c r="AG40" i="25"/>
  <c r="AC57" i="25"/>
  <c r="AC56" i="25"/>
  <c r="AD55" i="25"/>
  <c r="AD57" i="25" s="1"/>
  <c r="AC55" i="25"/>
  <c r="AD54" i="25"/>
  <c r="AC54" i="25"/>
  <c r="AD53" i="25"/>
  <c r="AC53" i="25"/>
  <c r="AC52" i="25"/>
  <c r="AD51" i="25"/>
  <c r="AD49" i="25"/>
  <c r="AD47" i="25"/>
  <c r="AD50" i="25" s="1"/>
  <c r="AD46" i="25"/>
  <c r="AG44" i="25"/>
  <c r="AG43" i="25"/>
  <c r="AG42" i="25"/>
  <c r="AG41" i="25"/>
  <c r="AI133" i="23"/>
  <c r="AI130" i="23"/>
  <c r="AI127" i="23"/>
  <c r="AI126" i="23"/>
  <c r="AA143" i="23"/>
  <c r="AA142" i="23"/>
  <c r="AB141" i="23"/>
  <c r="AA141" i="23"/>
  <c r="AB140" i="23"/>
  <c r="AA140" i="23"/>
  <c r="AB139" i="23"/>
  <c r="AA139" i="23"/>
  <c r="AA137" i="23"/>
  <c r="AB136" i="23"/>
  <c r="AB135" i="23"/>
  <c r="AB134" i="23"/>
  <c r="AB132" i="23"/>
  <c r="AB131" i="23"/>
  <c r="AB130" i="23"/>
  <c r="AE127" i="23"/>
  <c r="AE126" i="23"/>
  <c r="AE141" i="23" s="1"/>
  <c r="AE125" i="23"/>
  <c r="AE124" i="23"/>
  <c r="O3" i="2"/>
  <c r="O4" i="2" s="1"/>
  <c r="G52" i="27"/>
  <c r="G51" i="27"/>
  <c r="F52" i="27"/>
  <c r="F51" i="27"/>
  <c r="H49" i="27"/>
  <c r="H48" i="27"/>
  <c r="I47" i="27"/>
  <c r="H47" i="27"/>
  <c r="I46" i="27"/>
  <c r="I49" i="27" s="1"/>
  <c r="H46" i="27"/>
  <c r="I45" i="27"/>
  <c r="I48" i="27" s="1"/>
  <c r="H45" i="27"/>
  <c r="F49" i="27"/>
  <c r="F46" i="27"/>
  <c r="F47" i="27"/>
  <c r="E49" i="27"/>
  <c r="E46" i="27"/>
  <c r="I33" i="27"/>
  <c r="E48" i="27"/>
  <c r="E45" i="27"/>
  <c r="E47" i="27"/>
  <c r="E43" i="27"/>
  <c r="I36" i="27"/>
  <c r="I34" i="27"/>
  <c r="I38" i="27" s="1"/>
  <c r="I35" i="27"/>
  <c r="I42" i="27" s="1"/>
  <c r="G59" i="23"/>
  <c r="G61" i="23" s="1"/>
  <c r="F39" i="25"/>
  <c r="G45" i="25" s="1"/>
  <c r="I26" i="25"/>
  <c r="I31" i="25" s="1"/>
  <c r="I27" i="25"/>
  <c r="I29" i="25"/>
  <c r="I28" i="25"/>
  <c r="H41" i="25" s="1"/>
  <c r="I36" i="25"/>
  <c r="F40" i="25"/>
  <c r="F42" i="25" s="1"/>
  <c r="F38" i="25"/>
  <c r="E38" i="25"/>
  <c r="E42" i="25"/>
  <c r="E41" i="25"/>
  <c r="E40" i="25"/>
  <c r="E39" i="25"/>
  <c r="G60" i="23"/>
  <c r="G58" i="23"/>
  <c r="F60" i="23"/>
  <c r="J45" i="23"/>
  <c r="I61" i="23" s="1"/>
  <c r="J44" i="23"/>
  <c r="F59" i="23"/>
  <c r="F61" i="23"/>
  <c r="F62" i="23"/>
  <c r="J43" i="23"/>
  <c r="J46" i="23"/>
  <c r="I59" i="23"/>
  <c r="F58" i="23"/>
  <c r="F56" i="23"/>
  <c r="G64" i="23"/>
  <c r="G55" i="23"/>
  <c r="G54" i="23"/>
  <c r="G53" i="23"/>
  <c r="G50" i="23"/>
  <c r="G51" i="23" s="1"/>
  <c r="G49" i="23"/>
  <c r="E37" i="25"/>
  <c r="F36" i="25"/>
  <c r="F34" i="25"/>
  <c r="F32" i="25"/>
  <c r="F31" i="25"/>
  <c r="AC17" i="25"/>
  <c r="AC16" i="25"/>
  <c r="AD16" i="25"/>
  <c r="F42" i="27"/>
  <c r="F38" i="27"/>
  <c r="Q30" i="28"/>
  <c r="Q29" i="28"/>
  <c r="Q33" i="28"/>
  <c r="Q32" i="28"/>
  <c r="Q31" i="28"/>
  <c r="A15" i="28"/>
  <c r="S31" i="27"/>
  <c r="S41" i="27" s="1"/>
  <c r="S10" i="27"/>
  <c r="S17" i="27" s="1"/>
  <c r="S38" i="27"/>
  <c r="I22" i="28"/>
  <c r="D23" i="22"/>
  <c r="C23" i="22"/>
  <c r="C19" i="22"/>
  <c r="C20" i="22"/>
  <c r="C21" i="22"/>
  <c r="C22" i="22"/>
  <c r="C18" i="22"/>
  <c r="AM119" i="23"/>
  <c r="AM120" i="23" s="1"/>
  <c r="AL120" i="23"/>
  <c r="AM117" i="23"/>
  <c r="AL119" i="23"/>
  <c r="AL117" i="23"/>
  <c r="AL116" i="23"/>
  <c r="AD117" i="23"/>
  <c r="AD116" i="23"/>
  <c r="AM115" i="23"/>
  <c r="AM114" i="23"/>
  <c r="AM113" i="23"/>
  <c r="AM110" i="23"/>
  <c r="AM111" i="23" s="1"/>
  <c r="AM109" i="23"/>
  <c r="AE113" i="23"/>
  <c r="AE117" i="23"/>
  <c r="R44" i="27"/>
  <c r="R43" i="27"/>
  <c r="R41" i="27"/>
  <c r="R40" i="27"/>
  <c r="S14" i="27"/>
  <c r="AD35" i="25"/>
  <c r="AD33" i="25"/>
  <c r="AD31" i="25"/>
  <c r="AD29" i="25"/>
  <c r="AD32" i="25" s="1"/>
  <c r="AD34" i="25" s="1"/>
  <c r="AD28" i="25"/>
  <c r="AD17" i="25"/>
  <c r="AD15" i="25"/>
  <c r="AD14" i="25"/>
  <c r="AD13" i="25"/>
  <c r="AD11" i="25"/>
  <c r="AD10" i="25"/>
  <c r="AE33" i="23"/>
  <c r="AE10" i="23"/>
  <c r="AL10" i="23"/>
  <c r="AE11" i="23"/>
  <c r="AL11" i="23"/>
  <c r="AL12" i="23" s="1"/>
  <c r="AE12" i="23"/>
  <c r="AE14" i="23"/>
  <c r="AL14" i="23"/>
  <c r="AL17" i="23" s="1"/>
  <c r="AE15" i="23"/>
  <c r="AL15" i="23"/>
  <c r="AE16" i="23"/>
  <c r="AL16" i="23"/>
  <c r="AE17" i="23"/>
  <c r="AE18" i="23"/>
  <c r="AL18" i="23"/>
  <c r="AE29" i="23"/>
  <c r="AE30" i="23"/>
  <c r="AE31" i="23" s="1"/>
  <c r="AE34" i="23"/>
  <c r="AE35" i="23"/>
  <c r="AE37" i="23"/>
  <c r="AE56" i="23"/>
  <c r="AP50" i="23" s="1"/>
  <c r="AL56" i="23"/>
  <c r="AM56" i="23"/>
  <c r="AE57" i="23"/>
  <c r="AE58" i="23" s="1"/>
  <c r="AL57" i="23"/>
  <c r="AM57" i="23"/>
  <c r="AL58" i="23"/>
  <c r="AM58" i="23"/>
  <c r="AE60" i="23"/>
  <c r="AL60" i="23"/>
  <c r="AM60" i="23"/>
  <c r="AM63" i="23" s="1"/>
  <c r="AE61" i="23"/>
  <c r="AL61" i="23"/>
  <c r="AM61" i="23"/>
  <c r="AE62" i="23"/>
  <c r="AL62" i="23"/>
  <c r="AL63" i="23" s="1"/>
  <c r="AM62" i="23"/>
  <c r="AE64" i="23"/>
  <c r="AL64" i="23"/>
  <c r="AM64" i="23"/>
  <c r="AV82" i="23"/>
  <c r="AV84" i="23" s="1"/>
  <c r="AN83" i="23"/>
  <c r="AO83" i="23"/>
  <c r="AN84" i="23"/>
  <c r="AN85" i="23" s="1"/>
  <c r="AO84" i="23"/>
  <c r="AO85" i="23" s="1"/>
  <c r="AE87" i="23"/>
  <c r="AA77" i="23" s="1"/>
  <c r="AN87" i="23"/>
  <c r="AO87" i="23"/>
  <c r="AE88" i="23"/>
  <c r="AE89" i="23" s="1"/>
  <c r="AA78" i="23" s="1"/>
  <c r="AN88" i="23"/>
  <c r="AO88" i="23"/>
  <c r="AO90" i="23" s="1"/>
  <c r="AN89" i="23"/>
  <c r="AO89" i="23"/>
  <c r="AE91" i="23"/>
  <c r="AN91" i="23"/>
  <c r="AO91" i="23"/>
  <c r="AE92" i="23"/>
  <c r="AE93" i="23"/>
  <c r="AE95" i="23"/>
  <c r="I41" i="22"/>
  <c r="I38" i="22"/>
  <c r="C41" i="22"/>
  <c r="B40" i="22"/>
  <c r="C40" i="22"/>
  <c r="C39" i="22"/>
  <c r="B39" i="22"/>
  <c r="D28" i="22"/>
  <c r="C31" i="22"/>
  <c r="D31" i="22" s="1"/>
  <c r="C29" i="22"/>
  <c r="D29" i="22" s="1"/>
  <c r="C28" i="22"/>
  <c r="C27" i="22"/>
  <c r="D27" i="22" s="1"/>
  <c r="C30" i="22"/>
  <c r="C10" i="22"/>
  <c r="C11" i="22"/>
  <c r="C12" i="22"/>
  <c r="C9" i="22"/>
  <c r="C13" i="22" s="1"/>
  <c r="U231" i="32" l="1"/>
  <c r="V216" i="32" s="1"/>
  <c r="S213" i="32"/>
  <c r="U230" i="32"/>
  <c r="V215" i="32" s="1"/>
  <c r="AE116" i="32"/>
  <c r="K61" i="4"/>
  <c r="K62" i="4"/>
  <c r="K63" i="4" s="1"/>
  <c r="K65" i="4" s="1"/>
  <c r="AM280" i="4"/>
  <c r="AM268" i="4"/>
  <c r="AM217" i="4"/>
  <c r="AM218" i="4" s="1"/>
  <c r="AM219" i="4" s="1"/>
  <c r="AM221" i="4" s="1"/>
  <c r="AL172" i="4"/>
  <c r="AL173" i="4" s="1"/>
  <c r="AL175" i="4" s="1"/>
  <c r="AM132" i="4"/>
  <c r="AM87" i="4"/>
  <c r="AJ60" i="4" s="1"/>
  <c r="AJ58" i="4"/>
  <c r="V39" i="31"/>
  <c r="V49" i="31"/>
  <c r="AM12" i="31"/>
  <c r="AM22" i="31"/>
  <c r="AN22" i="31"/>
  <c r="AN12" i="31"/>
  <c r="V12" i="31"/>
  <c r="V22" i="31"/>
  <c r="U11" i="31"/>
  <c r="U10" i="31"/>
  <c r="AB11" i="31"/>
  <c r="AB10" i="31"/>
  <c r="AA10" i="31"/>
  <c r="AA11" i="31"/>
  <c r="AG10" i="31"/>
  <c r="AC162" i="23"/>
  <c r="AC163" i="23" s="1"/>
  <c r="AF153" i="23"/>
  <c r="AF166" i="23" s="1"/>
  <c r="AF168" i="23" s="1"/>
  <c r="AC166" i="23"/>
  <c r="AC168" i="23" s="1"/>
  <c r="AC169" i="23" s="1"/>
  <c r="AC156" i="23"/>
  <c r="AE163" i="23"/>
  <c r="AE165" i="23"/>
  <c r="AE166" i="23"/>
  <c r="AE167" i="23"/>
  <c r="AE168" i="23"/>
  <c r="AE169" i="23"/>
  <c r="AC172" i="23"/>
  <c r="AF160" i="23"/>
  <c r="Y55" i="27"/>
  <c r="Y61" i="27"/>
  <c r="Y64" i="27" s="1"/>
  <c r="Y56" i="27"/>
  <c r="Y60" i="27"/>
  <c r="Y63" i="27" s="1"/>
  <c r="V53" i="27"/>
  <c r="V55" i="27" s="1"/>
  <c r="S55" i="27"/>
  <c r="V62" i="27"/>
  <c r="T66" i="27" s="1"/>
  <c r="U63" i="27"/>
  <c r="S56" i="27"/>
  <c r="S66" i="27"/>
  <c r="S60" i="27"/>
  <c r="S61" i="27"/>
  <c r="S64" i="27" s="1"/>
  <c r="U58" i="27"/>
  <c r="U60" i="27"/>
  <c r="U62" i="27"/>
  <c r="U64" i="27"/>
  <c r="S67" i="27"/>
  <c r="U61" i="27"/>
  <c r="V57" i="27"/>
  <c r="V60" i="27"/>
  <c r="V63" i="27" s="1"/>
  <c r="AG55" i="25"/>
  <c r="AG57" i="25" s="1"/>
  <c r="AG51" i="25"/>
  <c r="AG47" i="25"/>
  <c r="AG49" i="25"/>
  <c r="AD52" i="25"/>
  <c r="AE60" i="25"/>
  <c r="AD56" i="25"/>
  <c r="AF52" i="25"/>
  <c r="AF53" i="25"/>
  <c r="AF54" i="25"/>
  <c r="AF55" i="25"/>
  <c r="AF56" i="25"/>
  <c r="AF57" i="25"/>
  <c r="AD60" i="25"/>
  <c r="AD59" i="25"/>
  <c r="AG46" i="25"/>
  <c r="AG50" i="25" s="1"/>
  <c r="AG53" i="25"/>
  <c r="AE59" i="25" s="1"/>
  <c r="AG54" i="25"/>
  <c r="AG56" i="25" s="1"/>
  <c r="AB145" i="23"/>
  <c r="AE134" i="23"/>
  <c r="AE135" i="23"/>
  <c r="AE136" i="23"/>
  <c r="AB137" i="23"/>
  <c r="AB142" i="23"/>
  <c r="AB143" i="23" s="1"/>
  <c r="AD137" i="23"/>
  <c r="AD139" i="23"/>
  <c r="AD140" i="23"/>
  <c r="AD141" i="23"/>
  <c r="AD142" i="23"/>
  <c r="AD143" i="23"/>
  <c r="AB146" i="23"/>
  <c r="AE130" i="23"/>
  <c r="AE131" i="23"/>
  <c r="AE132" i="23" s="1"/>
  <c r="AE139" i="23"/>
  <c r="AE140" i="23"/>
  <c r="AE142" i="23" s="1"/>
  <c r="H43" i="27"/>
  <c r="F45" i="27"/>
  <c r="F48" i="27" s="1"/>
  <c r="I41" i="27"/>
  <c r="I40" i="27"/>
  <c r="J54" i="23"/>
  <c r="I56" i="23"/>
  <c r="G65" i="23"/>
  <c r="J58" i="23"/>
  <c r="I60" i="23"/>
  <c r="I62" i="23"/>
  <c r="I58" i="23"/>
  <c r="J60" i="23"/>
  <c r="F35" i="25"/>
  <c r="F37" i="25" s="1"/>
  <c r="I39" i="25"/>
  <c r="I41" i="25" s="1"/>
  <c r="F44" i="25"/>
  <c r="H42" i="25"/>
  <c r="F45" i="25"/>
  <c r="F41" i="25"/>
  <c r="H37" i="25"/>
  <c r="I32" i="25"/>
  <c r="I35" i="25" s="1"/>
  <c r="H38" i="25"/>
  <c r="H40" i="25"/>
  <c r="I34" i="25"/>
  <c r="I38" i="25"/>
  <c r="G44" i="25" s="1"/>
  <c r="I40" i="25"/>
  <c r="I42" i="25" s="1"/>
  <c r="H39" i="25"/>
  <c r="G62" i="23"/>
  <c r="J59" i="23"/>
  <c r="J61" i="23" s="1"/>
  <c r="J62" i="23" s="1"/>
  <c r="H65" i="23" s="1"/>
  <c r="J50" i="23"/>
  <c r="J51" i="23" s="1"/>
  <c r="J49" i="23"/>
  <c r="J53" i="23"/>
  <c r="J55" i="23"/>
  <c r="G56" i="23"/>
  <c r="AN90" i="23"/>
  <c r="AE63" i="23"/>
  <c r="AE94" i="23"/>
  <c r="AM116" i="23"/>
  <c r="F41" i="27"/>
  <c r="F40" i="27"/>
  <c r="S21" i="27"/>
  <c r="S22" i="27" s="1"/>
  <c r="S32" i="27"/>
  <c r="S33" i="27" s="1"/>
  <c r="S36" i="27"/>
  <c r="S43" i="27"/>
  <c r="S44" i="27" s="1"/>
  <c r="S37" i="27"/>
  <c r="AE114" i="23"/>
  <c r="AE116" i="23" s="1"/>
  <c r="AE110" i="23"/>
  <c r="AE111" i="23" s="1"/>
  <c r="AE115" i="23"/>
  <c r="AE109" i="23"/>
  <c r="AA99" i="23" s="1"/>
  <c r="S12" i="27"/>
  <c r="S13" i="27"/>
  <c r="AE36" i="23"/>
  <c r="AN93" i="23"/>
  <c r="AL66" i="23"/>
  <c r="AP56" i="23"/>
  <c r="D10" i="22"/>
  <c r="E10" i="22" s="1"/>
  <c r="F10" i="22" s="1"/>
  <c r="F13" i="22" s="1"/>
  <c r="D11" i="22"/>
  <c r="E11" i="22" s="1"/>
  <c r="F11" i="22" s="1"/>
  <c r="D12" i="22"/>
  <c r="E12" i="22" s="1"/>
  <c r="F12" i="22" s="1"/>
  <c r="D9" i="22"/>
  <c r="E9" i="22" s="1"/>
  <c r="F9" i="22" s="1"/>
  <c r="J27" i="22"/>
  <c r="C32" i="22"/>
  <c r="D30" i="22"/>
  <c r="D32" i="22" s="1"/>
  <c r="E28" i="22"/>
  <c r="E27" i="22"/>
  <c r="F27" i="22" s="1"/>
  <c r="G27" i="22" s="1"/>
  <c r="E29" i="22"/>
  <c r="F29" i="22" s="1"/>
  <c r="G29" i="22" s="1"/>
  <c r="E30" i="22"/>
  <c r="F30" i="22" s="1"/>
  <c r="G30" i="22" s="1"/>
  <c r="E31" i="22"/>
  <c r="F31" i="22" s="1"/>
  <c r="G31" i="22" s="1"/>
  <c r="F28" i="22"/>
  <c r="G28" i="22"/>
  <c r="F24" i="16"/>
  <c r="F22" i="16"/>
  <c r="E22" i="16"/>
  <c r="E11" i="16"/>
  <c r="E10" i="16"/>
  <c r="K20" i="11"/>
  <c r="J6" i="11"/>
  <c r="B36" i="10"/>
  <c r="B35" i="10"/>
  <c r="B34" i="10"/>
  <c r="AA32" i="10"/>
  <c r="AA31" i="10"/>
  <c r="AA30" i="10"/>
  <c r="Q18" i="8"/>
  <c r="A21" i="8"/>
  <c r="U12" i="31" l="1"/>
  <c r="U22" i="31"/>
  <c r="AA12" i="31"/>
  <c r="AA22" i="31"/>
  <c r="AB12" i="31"/>
  <c r="AB22" i="31"/>
  <c r="AF165" i="23"/>
  <c r="AF169" i="23" s="1"/>
  <c r="AD172" i="23" s="1"/>
  <c r="AF162" i="23"/>
  <c r="AF161" i="23"/>
  <c r="AF157" i="23"/>
  <c r="AF158" i="23" s="1"/>
  <c r="AF156" i="23"/>
  <c r="AF167" i="23"/>
  <c r="Y58" i="27"/>
  <c r="V56" i="27"/>
  <c r="V58" i="27" s="1"/>
  <c r="V61" i="27"/>
  <c r="V64" i="27" s="1"/>
  <c r="T67" i="27" s="1"/>
  <c r="S58" i="27"/>
  <c r="S63" i="27"/>
  <c r="AG52" i="25"/>
  <c r="AE137" i="23"/>
  <c r="AE143" i="23"/>
  <c r="AC146" i="23" s="1"/>
  <c r="AC145" i="23"/>
  <c r="F43" i="27"/>
  <c r="I43" i="27"/>
  <c r="I37" i="25"/>
  <c r="J56" i="23"/>
  <c r="H64" i="23" s="1"/>
  <c r="S40" i="27"/>
  <c r="S16" i="27"/>
  <c r="F32" i="22"/>
  <c r="E32" i="22"/>
  <c r="G32" i="22"/>
  <c r="J28" i="22" s="1"/>
  <c r="J29" i="22" s="1"/>
  <c r="AF163" i="23" l="1"/>
  <c r="AD171" i="23" s="1"/>
</calcChain>
</file>

<file path=xl/sharedStrings.xml><?xml version="1.0" encoding="utf-8"?>
<sst xmlns="http://schemas.openxmlformats.org/spreadsheetml/2006/main" count="1703" uniqueCount="512">
  <si>
    <t>z</t>
  </si>
  <si>
    <t>Sigma known</t>
  </si>
  <si>
    <t>Df = n-1</t>
  </si>
  <si>
    <t>x</t>
  </si>
  <si>
    <t>mu</t>
  </si>
  <si>
    <t>sigma</t>
  </si>
  <si>
    <t>pop std dev</t>
  </si>
  <si>
    <t>sample mean</t>
  </si>
  <si>
    <t>sample std dev</t>
  </si>
  <si>
    <t>Xi</t>
  </si>
  <si>
    <t>P(xi</t>
  </si>
  <si>
    <t xml:space="preserve">Mu = </t>
  </si>
  <si>
    <t>don't care about the order so combination</t>
  </si>
  <si>
    <t>x-Bar too</t>
  </si>
  <si>
    <t>order doesn’t matter combination</t>
  </si>
  <si>
    <t>z-table</t>
  </si>
  <si>
    <t>per z-table</t>
  </si>
  <si>
    <t>Exhibit 8-5</t>
  </si>
  <si>
    <t>A random sample of 64 SAT scores of students applying for merit scholarships showed an average of 1400 with a standard deviation of 240.</t>
  </si>
  <si>
    <t>Refer to Exhibit 8-5.  If we want to provide a 95% confidence interval for the SAT scores, the degrees of freedom for reading the critical values of “t” statistic is</t>
  </si>
  <si>
    <t>Refer to Exhibit 8-5.  The “t” value for this interval estimation is</t>
  </si>
  <si>
    <t>Refer to Exhibit 8-5.  The margin of error at 95% confidence is</t>
  </si>
  <si>
    <t>Refer to Exhibit 8-5.  The 95% confidence interval for the SAT scores is</t>
  </si>
  <si>
    <t>P279, q.35</t>
  </si>
  <si>
    <t xml:space="preserve">In US, the mean age of men when they marry for the first time follows the normal distribution with a mean of 29 years. The standard deviation of this distribution is 2.5 years. </t>
  </si>
  <si>
    <t xml:space="preserve">For a random sample of 60 men, what is the likelihood that the age when they were first married is less than 26 years? </t>
  </si>
  <si>
    <t>What is likelihood that the age when they first married is in between 30 and 35 years?</t>
  </si>
  <si>
    <t>Exhibit 5-2</t>
  </si>
  <si>
    <t>The student body of a large university consists of 40% female students. A random sample of 9 students is selected.</t>
  </si>
  <si>
    <t>What is the probability that among the students in the sample exactly two are female?</t>
  </si>
  <si>
    <t xml:space="preserve">            What is the probability that among the students in the sample at least 7 are female?</t>
  </si>
  <si>
    <t xml:space="preserve">            What is the probability that among the students in the sample at least 7 are male?</t>
  </si>
  <si>
    <t>Exhibit 5-10</t>
  </si>
  <si>
    <t>The probability distribution for the number of goals the Lions soccer team makes per game is given below.</t>
  </si>
  <si>
    <t>Number</t>
  </si>
  <si>
    <t>Of Goals</t>
  </si>
  <si>
    <t>Probability</t>
  </si>
  <si>
    <t>Refer to Exhibit 5-10. The expected number of goals per game is</t>
  </si>
  <si>
    <t xml:space="preserve">  What is the probability that in a given game the Lions will score at least 1 goal?</t>
  </si>
  <si>
    <t>What is the probability that in a given game the Lions will score less than 3 goals?</t>
  </si>
  <si>
    <t>What is the probability that in a given game the Lions will score no goals?</t>
  </si>
  <si>
    <t>population mean</t>
  </si>
  <si>
    <t>observations</t>
  </si>
  <si>
    <t>n</t>
  </si>
  <si>
    <t>x-bar</t>
  </si>
  <si>
    <t>s</t>
  </si>
  <si>
    <t>liklihood almost zero</t>
  </si>
  <si>
    <t>=(26-E6)/(E7/SQRT(E9))</t>
  </si>
  <si>
    <t>=NORM.S.DIST(F22,TRUE)-NORM.S.DIST(E22,TRUE)</t>
  </si>
  <si>
    <t>50 multiple choice</t>
  </si>
  <si>
    <t>2.5 hours</t>
  </si>
  <si>
    <t>open notes / book</t>
  </si>
  <si>
    <t>P(x)</t>
  </si>
  <si>
    <t>mean</t>
  </si>
  <si>
    <t>variance</t>
  </si>
  <si>
    <t>x*P(x)</t>
  </si>
  <si>
    <t>(x-u)^2*P(x)</t>
  </si>
  <si>
    <t>(x-mean)</t>
  </si>
  <si>
    <t>(x-mean)^2</t>
  </si>
  <si>
    <t>std dev</t>
  </si>
  <si>
    <t>sigma squared</t>
  </si>
  <si>
    <t>Ex5. The information below is the number of daily emergency service calls made by the volunteer ambulance service of Walterboro, South Carolina, for the last 50 days. To explain, there were 22 days whenthere were two emergency calls, and 9 days where there were three emergency calls.</t>
  </si>
  <si>
    <t>Number of Calls</t>
  </si>
  <si>
    <t>Frequency</t>
  </si>
  <si>
    <t>Total</t>
  </si>
  <si>
    <t>a. Convert this information on the number of calls to a probability distribution.</t>
  </si>
  <si>
    <t>b. Is this an example of a discrete or continuous probability distrilbution?</t>
  </si>
  <si>
    <t>c. What is the probability that three or more calls are made per day?</t>
  </si>
  <si>
    <t>d. What is the mean number of emergency calls per day?</t>
  </si>
  <si>
    <t>e. What is the standard deviation of the number of calls made daily?</t>
  </si>
  <si>
    <t>the number of calls can only assume random non-negative integer values so is therefore a discrete random variable. If all decimal values between whole numbers were possible it would be a continuous random variable.</t>
  </si>
  <si>
    <t>Ex1. Compute the mean and variance of the following discrete probability distribution</t>
  </si>
  <si>
    <t>Ex13. An American Society of Investors survey found 30% of individual investors have used a discount broker. In a random sample of nine individuals, what is the probability:</t>
  </si>
  <si>
    <t>a. Exactly two of the sampled individuals have used a discount broker?</t>
  </si>
  <si>
    <t>b. Exactly four of them have used a discount broker?</t>
  </si>
  <si>
    <t>c. None of them have used a discount broker?</t>
  </si>
  <si>
    <t>pi</t>
  </si>
  <si>
    <t>number of trials</t>
  </si>
  <si>
    <t>random variable number of successes</t>
  </si>
  <si>
    <t>prob of success on each trial</t>
  </si>
  <si>
    <t>success is…</t>
  </si>
  <si>
    <t>have used a discount broker</t>
  </si>
  <si>
    <t>Binomial</t>
  </si>
  <si>
    <t>population variance</t>
  </si>
  <si>
    <t>population std dev</t>
  </si>
  <si>
    <t>sigma-squared</t>
  </si>
  <si>
    <t>nCx</t>
  </si>
  <si>
    <t>pi^x</t>
  </si>
  <si>
    <t>(1-pi)^(n-x)</t>
  </si>
  <si>
    <t>Ex17. A recent survey by the American Accounting Association revealed 52% of accountants have the Certified Public Accounting (CPA) certificate. Suppose we select a sample of 15 accountants.</t>
  </si>
  <si>
    <t>a. What is the random variable? How is the random variable distributed? Why?</t>
  </si>
  <si>
    <t>b. What is the probability that five of the 15 accountants are CPAs?</t>
  </si>
  <si>
    <t>c. What is the probability that seven or eight of the 15 accountants are CPAs?</t>
  </si>
  <si>
    <t>d. What is the mean of the distribution of "number of CPA's among 15 accountants?</t>
  </si>
  <si>
    <t>e. What is the variance of the distribution of "number of CPA's among 15 accountants?</t>
  </si>
  <si>
    <t>have the CPA certificate</t>
  </si>
  <si>
    <t xml:space="preserve">The random variable is the number of accountants that are CPAs. It is a binomial probability distribution because... </t>
  </si>
  <si>
    <t xml:space="preserve">1. any possible outcome is either true or false. An accountant is either a CPA or not. True and false is not possible </t>
  </si>
  <si>
    <t>2. the random variable (x) is a fixed number of CPAs in a known number of accountants (n).</t>
  </si>
  <si>
    <t>4. the trials are all independent. There is no pattern to the trials and the outcome of a particular trial does not effect the outcome of any other trial.</t>
  </si>
  <si>
    <t xml:space="preserve">3. we know the probability of an accountant being a CPA (pi) and it is the same for each of the accountants (n). </t>
  </si>
  <si>
    <t>P(7or8)</t>
  </si>
  <si>
    <t>Ex23. The speed with which utility companies can resolve problems is very important. GTC, the Georgetown Telephone Company, reports it can resolve customer problems the same day they are reported in 70% of the cases. Suppose the 15 cases reported today are representative of all complaints.</t>
  </si>
  <si>
    <t>a. How many of the problems would you expect to be resolved today? What is the standard deviation?</t>
  </si>
  <si>
    <t>b. What is the probability 10 of the problems can be resolved today?</t>
  </si>
  <si>
    <t>c. What is the probability 10 or 11 of the problems can be resolved today?</t>
  </si>
  <si>
    <t>d. What is the probability more than 10 of the problems can be resolved today?</t>
  </si>
  <si>
    <t xml:space="preserve">The random variable is the number of problems resolved same day. It is a binomial probability distribution because... </t>
  </si>
  <si>
    <t xml:space="preserve">1. any possible outcome is either true or false. A problem is either resolved same day or not. True and false is not possible </t>
  </si>
  <si>
    <t xml:space="preserve">3. we know the probability of a problem being resolved (pi) and it is the same for each of the problem (n). </t>
  </si>
  <si>
    <t>2. the random variable (x) is a fixed number of solved problems in a known number of total problems (n).</t>
  </si>
  <si>
    <t>problem is resolved</t>
  </si>
  <si>
    <t>P(10or11)</t>
  </si>
  <si>
    <t>P(&gt;10)</t>
  </si>
  <si>
    <t>=BINOM.DIST(AV79,AV78,AV80,TRUE)</t>
  </si>
  <si>
    <t>=1-AV82</t>
  </si>
  <si>
    <t>Calculating the individual probabilities P(11) through P(15) and adding them will yield the same result.</t>
  </si>
  <si>
    <t>Hypergeometric</t>
  </si>
  <si>
    <t xml:space="preserve">Ex27. The Riverton Branch of the National Bank of Wyoming has 10 real estate loans over $1,000,000. Of these 10 loans, three are "underwater." A loan is underwater if the amount of the loan is greater than the value of the property. </t>
  </si>
  <si>
    <t>The chief loan officer decided to randomly select two of these loans to determine if they met all banking standards. What is the probability that neither of the selected loads is underwater?</t>
  </si>
  <si>
    <t>size of the population</t>
  </si>
  <si>
    <t>N</t>
  </si>
  <si>
    <t>S</t>
  </si>
  <si>
    <t>number of successes in the population</t>
  </si>
  <si>
    <t>is an underwater loan</t>
  </si>
  <si>
    <t>number of successes in a sample</t>
  </si>
  <si>
    <t>size of the sample or the number of trials</t>
  </si>
  <si>
    <t>sCx</t>
  </si>
  <si>
    <t>(n-s)C(n-x)</t>
  </si>
  <si>
    <t>(NCn)</t>
  </si>
  <si>
    <t>(n-x)</t>
  </si>
  <si>
    <t>(N-S)</t>
  </si>
  <si>
    <t>=HYPGEOM.DIST(AD7,AD8,AD6,AD5,FALSE)</t>
  </si>
  <si>
    <t>Ex29. Keith's Florist has 15 delivery trucks, used mainly to deliver flowers and flower arrangements in the Greenville, South Carolina, area. Of these 15 trucks, six have brake problems. Five trucks are randomly selected. What is the probability that two of those tested have defective brakes?</t>
  </si>
  <si>
    <t>has brake problems</t>
  </si>
  <si>
    <t>Discrete Probability Distributions</t>
  </si>
  <si>
    <t>Poisson</t>
  </si>
  <si>
    <t>Ex33. Ms. Bergen is a loan officer at Coast Bank and Trust. For her years of experience, she estimates that the probability is .025 that an applicant will not be able to repay his or her installment loan. Last month she made 40 loans.</t>
  </si>
  <si>
    <t>a. What is the probability that three loans will be defaulted?</t>
  </si>
  <si>
    <t>b. What is the probability that at least three loans will be defaulted?</t>
  </si>
  <si>
    <t>e</t>
  </si>
  <si>
    <t>base of Napierian logarithmic system</t>
  </si>
  <si>
    <t>number of occurances (successes)</t>
  </si>
  <si>
    <t>mu^x</t>
  </si>
  <si>
    <t>e^-mu</t>
  </si>
  <si>
    <t>x!</t>
  </si>
  <si>
    <t>population size</t>
  </si>
  <si>
    <t>not able to repay the loan</t>
  </si>
  <si>
    <t>=POISSON.DIST(S8,S10,FALSE)</t>
  </si>
  <si>
    <t>P(3)</t>
  </si>
  <si>
    <t>P(&gt;=3)</t>
  </si>
  <si>
    <t>P(&lt;3)</t>
  </si>
  <si>
    <t>Ex35. It is estimated that 0.5% of the callers to the Customer Service department of Dell Inc. will receive a busy signal. What is the probability that of today's 1,200 callers at least five received a busy signal?</t>
  </si>
  <si>
    <t>received a busy signal</t>
  </si>
  <si>
    <t>Ex43. In a recent study, 35% of people surveyed indicated chocolate was their favorite flavor of ice cream. Suppose we select a sample of 10 people and ask them to name thier favorite flavor of ice cream.</t>
  </si>
  <si>
    <t>a. How many of those in the sample would you expect to name chocolate?</t>
  </si>
  <si>
    <t>b. What is the probability exactly four of those in the sample name chocolate?</t>
  </si>
  <si>
    <t>c. What is the probability four or more name chocolate?</t>
  </si>
  <si>
    <t>chocolate is favorite</t>
  </si>
  <si>
    <t>=BINOM.DIST(AK129,AK128,AK130,FALSE)</t>
  </si>
  <si>
    <t>=BINOM.DIST(AK129-1,AK128,AK130,TRUE)</t>
  </si>
  <si>
    <t>=1 - BINOM.DIST(AK129-1,AK128,AK130,TRUE)</t>
  </si>
  <si>
    <t>Descrete Probability Distribution (Ch. 6)</t>
  </si>
  <si>
    <t>Continuous Probability Distribution (Ch. 7)</t>
  </si>
  <si>
    <t>Y</t>
  </si>
  <si>
    <t>Read the problem</t>
  </si>
  <si>
    <t>Are all of the following statements true?</t>
  </si>
  <si>
    <t>Random Variable is…</t>
  </si>
  <si>
    <t>Success is…</t>
  </si>
  <si>
    <t>Identify the random variable and what success is.</t>
  </si>
  <si>
    <t>=POISSON.DIST(S29,S31,FALSE)</t>
  </si>
  <si>
    <t>Note: Poisson is a subset of Binomial so often either Poisson or Binomial can be applied. Typically the results are very similar but Poisson should be used in cases where 4 and 5 above are false.</t>
  </si>
  <si>
    <t>Row</t>
  </si>
  <si>
    <t>Col</t>
  </si>
  <si>
    <t>z-value</t>
  </si>
  <si>
    <t>Area under normal curve</t>
  </si>
  <si>
    <t>debit purchase</t>
  </si>
  <si>
    <t>Ex47. A federal study reported that 7.5% of the US workforce has a drug problem. A drug enforcement official for the state of Indiana wishes to investigate this statement. In her sample of 20 employed workers:</t>
  </si>
  <si>
    <t>a. How many would you expect to have a drug problem? What is the standard deviation?</t>
  </si>
  <si>
    <t>b. What is the likelihood that none of the workers sampled has a drug problem?</t>
  </si>
  <si>
    <t>c. What is the likelihood at least one has a drug problem?</t>
  </si>
  <si>
    <t>has a drug problem</t>
  </si>
  <si>
    <t>a. One member of the committee lives in northern Kentucky and the others live in Ohio?</t>
  </si>
  <si>
    <t>b. At least one member of the committee lives in northern Kentucky?</t>
  </si>
  <si>
    <t>lives in Kentucky</t>
  </si>
  <si>
    <t>Ex55. The law firm of Hagel and Hagel is located in downtown Cincinnati. There are 10 partners in the firm; seven live in Ohio and three in northern Kentucky. Ms Wendy Hagel, the managing partner, wants to appoint a committee of three partners to look into moving the firm to northern Kentucky.</t>
  </si>
  <si>
    <t>If the committee is selected at random from the 10 partners, what is the probability that:</t>
  </si>
  <si>
    <t>Ex63. Recent crime reports indicate that 3.1 motor vehicle thefts occur each minute in the United States. Assume that the distribution on thefts per minute can be approximated by the Poisson probability distribution.</t>
  </si>
  <si>
    <t>a. Calculate the probability exactly four thefts occur in a minute?</t>
  </si>
  <si>
    <t>b. What is the probability there are no thefts in a minute?</t>
  </si>
  <si>
    <t>c. What is the probability there is at least one theft in a minute?</t>
  </si>
  <si>
    <t>motor verhicle theft</t>
  </si>
  <si>
    <t>americans preference for pennies</t>
  </si>
  <si>
    <t>pennies should not be eliminated</t>
  </si>
  <si>
    <t>a. Of the 12 adults, how many would we expect to support continued use of the penny?</t>
  </si>
  <si>
    <t>b. What is the likelihood that eight adults would support continued use of the penny?</t>
  </si>
  <si>
    <t>c. What is the likelihood that the majority of the 12 people, that is seven or more adults, would support the continued use of the penny?</t>
  </si>
  <si>
    <t>Ex67. According to the U.S. government, it costs more to make a penny, 0.0241, than a penny′s value, 0.01. The U.S government has considered eliminating pennies from its currency. Canada and Australia decided to eliminate pennies from their currencies.</t>
  </si>
  <si>
    <t xml:space="preserve"> As part of the decision, a survey of adult Americans found that two-thirds said that pennies should not be eliminated. If we randomly selected 12 adults:</t>
  </si>
  <si>
    <t>Ex3. The closing price of Schnur Sporting Goods Inc. common stock is uniformly distributed between $20 and $30 per share. What is the probability that the stock price will be:</t>
  </si>
  <si>
    <t>a. More than $27?</t>
  </si>
  <si>
    <t>b. Less than or equal to $24?</t>
  </si>
  <si>
    <t>Uniform Probability Distribution</t>
  </si>
  <si>
    <t>min</t>
  </si>
  <si>
    <t>max</t>
  </si>
  <si>
    <t>std_dev</t>
  </si>
  <si>
    <t>Ex5. The April rainfall in Flagstaff, Arizona, follows a uniform distribution between 0.5 and 3.00 inches.</t>
  </si>
  <si>
    <t>a. What are the values for a and b?</t>
  </si>
  <si>
    <t>b. What is the mean amount of rainfall for the month? What is the standard deviation?</t>
  </si>
  <si>
    <t>c. What is the probability of less than an inch of rain for the month?</t>
  </si>
  <si>
    <t>d. What is the probability of exactly 1.00 inch of rain?</t>
  </si>
  <si>
    <t>e. What is the probability of more than 1.50 inches of rain for the month?</t>
  </si>
  <si>
    <t>a</t>
  </si>
  <si>
    <t>b</t>
  </si>
  <si>
    <t>c</t>
  </si>
  <si>
    <t>d</t>
  </si>
  <si>
    <t>Normal Probability Distribution</t>
  </si>
  <si>
    <t>Ex9. The mean of a normal probability distribution is 500; the standard deviation is 10.</t>
  </si>
  <si>
    <t>a. About 68% of the observations lie between what two values?</t>
  </si>
  <si>
    <t>b. About 95% of the observations lie between what two values?</t>
  </si>
  <si>
    <t>c. Practically all of the observations lie between what two values?</t>
  </si>
  <si>
    <t>Standard Normal Probability Distribution</t>
  </si>
  <si>
    <t>Empirical Rule</t>
  </si>
  <si>
    <t>% of Obs</t>
  </si>
  <si>
    <t>std_devs</t>
  </si>
  <si>
    <t>Ex15. The mean hourly pay of an American Airlines flight attendant is normally distributed with a mean of $29.81 per hour and a standard deviation of $9.31 per hour. What is the probability that the hourly pay of a randomly selected flight attendant:</t>
  </si>
  <si>
    <t>a. Is between the mean and $35.00 per hour?</t>
  </si>
  <si>
    <t>b. Is more than $35.00 per hour?</t>
  </si>
  <si>
    <t>c. Is less than $20.00 per hour?</t>
  </si>
  <si>
    <t>z_value</t>
  </si>
  <si>
    <t>Ex19. The Internal Revenue Service repored the average refund in 2017 was $2,878 with a standard deviation of $520. Assume the amount refunded is normally distributed.</t>
  </si>
  <si>
    <t>a. What percentage of the refunds are more than $3,500?</t>
  </si>
  <si>
    <t>b. What percentage of the refunds are more than $3,500 but less than $4,000?</t>
  </si>
  <si>
    <t>c. What percentage of the refunds are more than $2,400 but less than $4,000?</t>
  </si>
  <si>
    <t>Exponential Probability Distribution</t>
  </si>
  <si>
    <t>a. Less than 15 minutes per day using a computer for leisure.</t>
  </si>
  <si>
    <t>b. More than 2 hours.</t>
  </si>
  <si>
    <t>c. Between 30 minutes and 90 minutes using a computer for leisure.</t>
  </si>
  <si>
    <t>d. Find the 20th percentile. Eighty percent spend more than what amount of time?</t>
  </si>
  <si>
    <t>75 and over</t>
  </si>
  <si>
    <t>15 to 19</t>
  </si>
  <si>
    <t xml:space="preserve">Ex33. The Bureau of Labor Statistics’ American Time Use Survey, www.bls.gov/data, showed that the amount of time spent using a computer for leisure varied greatly by age. </t>
  </si>
  <si>
    <t>Individuals age 75 and over averaged 0.3 hour (18 minutes) per day using a computer for leisure. Individuals ages 15 to 19 spend 1.0 hour per day using a computer for leisure.</t>
  </si>
  <si>
    <t>If these times follow an exponential distribution, find the proportion of each group that spends:</t>
  </si>
  <si>
    <t>lambda</t>
  </si>
  <si>
    <t>rate</t>
  </si>
  <si>
    <t>percentile</t>
  </si>
  <si>
    <t>Ex35. If a continuous random variable, x, is uniformly distributed with a minimum value of 5 and a maximum value of 25:</t>
  </si>
  <si>
    <t>a. What is the probability that x = 10? Why?</t>
  </si>
  <si>
    <t>b. What is the probability that x = 13.4? Why?</t>
  </si>
  <si>
    <t>Ex37. The amount of cola in a 12-ounce can is uniformly distributed between 11.96 ounces and 12.05 ounces.</t>
  </si>
  <si>
    <t>a. What is the mean amount per can?</t>
  </si>
  <si>
    <t>b. What is the standard deviation amount per can?</t>
  </si>
  <si>
    <t>c. What is the probability of selecting a can of cola and finding it has less than 12 ounces?</t>
  </si>
  <si>
    <t>d. What is the probability of selecting a can of cola and finding it has more than 11.98 ounces?</t>
  </si>
  <si>
    <t>e. What is the probability of selecting a can of cola and finding it has more than 11.00 ounces?</t>
  </si>
  <si>
    <t>a. What percent of the families spend more than $900 but less than $1,054.50 per month on food?</t>
  </si>
  <si>
    <t>b. What percent of the families spend less than $900 per month on food?</t>
  </si>
  <si>
    <t>c. What percent spend between $900 and $1,200 per month on food?</t>
  </si>
  <si>
    <t>d. What percent spend between $900 and $1,000 per month on food?</t>
  </si>
  <si>
    <t xml:space="preserve">Ex43. In 2018, the U.S. Department of Agriculture issued a report indicating a family of four spent an average of $1,054.50 per month on food. </t>
  </si>
  <si>
    <t xml:space="preserve">This is for a family of four (two parents aged 19 to 50) and two children (one whose age is between 6 and 8 years and one between 9 and 11 years). </t>
  </si>
  <si>
    <t>Assume the distribution of food expenditures for a family of four follows the normal distribution with a standard deviation of $120 per month.</t>
  </si>
  <si>
    <t>Ex47. A recent study reported that Americans spend an average of 270 minutes per day watching TV. Assume the distribution of minutes per day watching TV follows a normal distribution with a standard deviation of 23 minutes.</t>
  </si>
  <si>
    <t>a. What percent of the population watch more than 300 minutes per day?</t>
  </si>
  <si>
    <t>b. What percent of the population watch more than 220 minutes per day?</t>
  </si>
  <si>
    <t>c. What percent of the population watch between 220 minutes and 300 minutes?</t>
  </si>
  <si>
    <t>d. Let’s define a “binge watcher” as someone in the upper 5% of the distribution of minutes watching TV. How many minutes does a “binge watcher” spend per day watching TV?</t>
  </si>
  <si>
    <t>area under the curve</t>
  </si>
  <si>
    <t>per z_table</t>
  </si>
  <si>
    <t>Ex57. “Boot time” (the time between the appearance of the Bios screen to the first file that is loaded in Windows) on Eric Mouser’s personal computer follows an exponential distribution with a mean of 27 seconds. What is the probability his “boot” will require:</t>
  </si>
  <si>
    <t>a. Less than 15 seconds?</t>
  </si>
  <si>
    <t>b. More than 60 seconds?</t>
  </si>
  <si>
    <t>c. Between 30 and 45 seconds?</t>
  </si>
  <si>
    <t>d. What is the point below which only 10% of the boots occur?</t>
  </si>
  <si>
    <t>Continuous Probability Distribution</t>
  </si>
  <si>
    <t>Sampling Methods</t>
  </si>
  <si>
    <t>Sampling Error</t>
  </si>
  <si>
    <t>Sampling Distribution of the Sample Mean</t>
  </si>
  <si>
    <t>a. List all samples of size 3, and compute the mean of each sample.</t>
  </si>
  <si>
    <t>b. Compute the mean of the distribution of sample means and the population mean. Compare the two values.</t>
  </si>
  <si>
    <t>sample</t>
  </si>
  <si>
    <t>population</t>
  </si>
  <si>
    <t>samples</t>
  </si>
  <si>
    <t>mean of dist of sample means</t>
  </si>
  <si>
    <t>c. Compare the dispersion in the population with that of the sample means.</t>
  </si>
  <si>
    <t>sample means coefficient of variation</t>
  </si>
  <si>
    <t>population coefficient of variation</t>
  </si>
  <si>
    <t>coeff_var</t>
  </si>
  <si>
    <t>Ex7. A population consists of the following five values: 12, 12, 14, 15, and 20.</t>
  </si>
  <si>
    <t>Listed is the number of cases each partner actually tried in </t>
  </si>
  <si>
    <t>court last month.</t>
  </si>
  <si>
    <t>a. How many different samples of size 3 are possible?</t>
  </si>
  <si>
    <t>b. List all possible samples of size 3, and compute the mean number of cases in each sample.</t>
  </si>
  <si>
    <t>c. Compare the mean of the distribution of sample means to the population mean.</t>
  </si>
  <si>
    <t>d. On a chart similar to Chart 8–2, compare the dispersion in the population with that of the sample means."</t>
  </si>
  <si>
    <t>Ex9. In the law firm Tybo and Associates, there are six partners. </t>
  </si>
  <si>
    <t>Number of Cases</t>
  </si>
  <si>
    <t>Partner</t>
  </si>
  <si>
    <t>Ruud</t>
  </si>
  <si>
    <t>Wu</t>
  </si>
  <si>
    <t>Sass</t>
  </si>
  <si>
    <t>Flores</t>
  </si>
  <si>
    <t>Wilhelms</t>
  </si>
  <si>
    <t>Schueller</t>
  </si>
  <si>
    <t>r</t>
  </si>
  <si>
    <t>nCr</t>
  </si>
  <si>
    <t>mean of the dist of sample means</t>
  </si>
  <si>
    <t>to the left</t>
  </si>
  <si>
    <t>Population</t>
  </si>
  <si>
    <t>Sample Means</t>
  </si>
  <si>
    <t>these batteries follows the normal probability distribution with a mean of 35.0 hours </t>
  </si>
  <si>
    <t>and a standard deviation of 5.5 hours. As a part of its quality assurance program, </t>
  </si>
  <si>
    <t>Power +, Inc. tests samples of 25 batteries.</t>
  </si>
  <si>
    <t>a. What can you say about the shape of the distribution of the sample mean?</t>
  </si>
  <si>
    <t>b. What is the standard error of the distribution of the sample mean?</t>
  </si>
  <si>
    <t>c. What proportion of the samples will have a mean useful life of more than 36 hours?</t>
  </si>
  <si>
    <t>d. What proportion of the samples will have a mean useful life greater than 34.5 hours?</t>
  </si>
  <si>
    <t>e. What proportion of the samples will have a mean useful life between 34.5 and 36.0 hours?</t>
  </si>
  <si>
    <t>f. What is the probability that the sampling error would be less than or more than 1 hour?</t>
  </si>
  <si>
    <t>Ex31. Power + Inc. produces AA batteries used in remote-controlled toy cars. The mean life of </t>
  </si>
  <si>
    <t>std error of the mean</t>
  </si>
  <si>
    <t>sigma-sqared</t>
  </si>
  <si>
    <t>pop_variance</t>
  </si>
  <si>
    <t>pop_std_dev</t>
  </si>
  <si>
    <t>pop_mean</t>
  </si>
  <si>
    <t>sample_observations</t>
  </si>
  <si>
    <t>sigma / sqrt(n)</t>
  </si>
  <si>
    <t>sample_mean</t>
  </si>
  <si>
    <t>x_bar</t>
  </si>
  <si>
    <t>(x_bar - mu) / (sigma / sqrt(n))</t>
  </si>
  <si>
    <t>area_under_curve</t>
  </si>
  <si>
    <t>high_sample_mean</t>
  </si>
  <si>
    <t>low_sample_mean</t>
  </si>
  <si>
    <t>low_z_value</t>
  </si>
  <si>
    <t>high_z_value</t>
  </si>
  <si>
    <t>low_area_under_curve</t>
  </si>
  <si>
    <t>high_area_under_curve</t>
  </si>
  <si>
    <t>sampling_error_limit</t>
  </si>
  <si>
    <t>$350 per year for personal-care products. The distribution of the </t>
  </si>
  <si>
    <t>amounts spent follows a normal distribution with a standard deviation </t>
  </si>
  <si>
    <t>of $45 per year. We select a random sample of 40 women. The mean amount </t>
  </si>
  <si>
    <t>spent for those sampled is $335. </t>
  </si>
  <si>
    <t>Ex33. Recent studies indicate that the typical 50-year-old woman spends </t>
  </si>
  <si>
    <t>What is the likelihood of finding a sample mean this large or larger from the specified population?</t>
  </si>
  <si>
    <t>first time follows the normal distribution with a mean of 29 years. </t>
  </si>
  <si>
    <t>The standard deviation of the distribution is 2.5 years. For a random </t>
  </si>
  <si>
    <t>sample of 60 men, what is the likelihood that the age when they were </t>
  </si>
  <si>
    <t>first married is less than 29.3. years?</t>
  </si>
  <si>
    <t>Ex35. In the United States, the mean age of men when they marry for the </t>
  </si>
  <si>
    <t>Security Association is 510 per year with a standard deviation of 14.28 attacks. The number of attacks per </t>
  </si>
  <si>
    <t>year is normally distributed. Suppose nothing in this environment changes.</t>
  </si>
  <si>
    <t>a. What is the likelihood this group will suffer an average of more than 600 attacks in the next 10 years?</t>
  </si>
  <si>
    <t>b. Compute the probability the mean number of attacks over the next 10 years is between 500 and 600.</t>
  </si>
  <si>
    <t>c. What is the possibility they will experience an average of less than 500 attacks over the next 10 years?</t>
  </si>
  <si>
    <t>Ex43. Over the past decade, the mean number of hacking attacks experienced by members of the Information Systems </t>
  </si>
  <si>
    <t>Suppose a sample of 81 customers is surveyed and the population standard deviation of sports </t>
  </si>
  <si>
    <t>shoes purchased per year is 2.1.</t>
  </si>
  <si>
    <t>a. What is the standard error of the mean in this experiment?</t>
  </si>
  <si>
    <t>b. What is the probability that the sample mean is between six and seven pairs of sports shoes?</t>
  </si>
  <si>
    <t>c. What is the probability that the difference between the sample mean and the population mean is less than 0.25 pair?</t>
  </si>
  <si>
    <t>d. What is the likelihood the sample mean is greater than seven pairs?</t>
  </si>
  <si>
    <t>Ex45. Nike’s annual report says that the average American buys 6.5 pairs of sports shoes per year. </t>
  </si>
  <si>
    <t>Estimation and Confidence Intervals</t>
  </si>
  <si>
    <t>Point Estimate</t>
  </si>
  <si>
    <t>Confidence Interval</t>
  </si>
  <si>
    <t>a. Determine the standard error of the mean.</t>
  </si>
  <si>
    <t>b. Explain why we can use formula (9–1) to determine the 95% confidence interval.</t>
  </si>
  <si>
    <t>c. Determine the 95% confidence interval for the population mean.</t>
  </si>
  <si>
    <t>The Central Limit Thereom allows us to assume that the distribution of sample means is also normally distributed.</t>
  </si>
  <si>
    <t>We have been given the information that the population is normally distributed and we know the population standard deviation.</t>
  </si>
  <si>
    <t>confidence level</t>
  </si>
  <si>
    <t>conf_interval_max</t>
  </si>
  <si>
    <t>conf_interval_min</t>
  </si>
  <si>
    <t>alpha</t>
  </si>
  <si>
    <t>CONFIDENCE INTERVALS (Known SIGMA)</t>
  </si>
  <si>
    <t>the mean amount spent on coffee during 1 week. The sample mean was $20 </t>
  </si>
  <si>
    <t>per week. The population distribution is normal with a standard </t>
  </si>
  <si>
    <t>deviation of $5.</t>
  </si>
  <si>
    <t>a. What is the point estimate of the population mean? Explain what it indicates.</t>
  </si>
  <si>
    <t>b. Using the 95% level of confidence, determine the confidence interval for μ. Explain what it indicates.</t>
  </si>
  <si>
    <t>Ex5. A research firm surveyed 49 randomly selected Americans to determine </t>
  </si>
  <si>
    <t>point_est_pop_mean</t>
  </si>
  <si>
    <t>Assuming our sample represents all Americans the average amount spent on coffee is $20</t>
  </si>
  <si>
    <t>Ex3. A sample of 250 observations is selected from a normal population with a population standard deviation of 25. The sample mean is 20.</t>
  </si>
  <si>
    <t>to estimate the mean number of gallons of gasoline sold to </t>
  </si>
  <si>
    <t>his customers. Assume the number of gallons sold follows the </t>
  </si>
  <si>
    <t>normal distribution with a population standard deviation of </t>
  </si>
  <si>
    <t>2.30 gallons. From his records, he selects a random sample </t>
  </si>
  <si>
    <t>of 60 sales and finds the mean number of gallons sold is 8.60.</t>
  </si>
  <si>
    <t>a. What is the point estimate of the population mean?</t>
  </si>
  <si>
    <t>b. Develop a 99% confidence interval for the population mean.</t>
  </si>
  <si>
    <t>c. Interpret the meaning of part (b).</t>
  </si>
  <si>
    <t>Ex7. Bob Nale is the owner of Nale’s Quick Fill. Bob would like </t>
  </si>
  <si>
    <t>Bob can be 99% certain that the true mean</t>
  </si>
  <si>
    <t>of all sales is between 7.8 and 9.3 gal.</t>
  </si>
  <si>
    <t>per chicken. A sample of 20 chickens shows they produced an average of 20 eggs per </t>
  </si>
  <si>
    <t>month with a standard deviation of 2 eggs per month.</t>
  </si>
  <si>
    <t>a. What is the value of the population mean? What is the best estimate of this value?</t>
  </si>
  <si>
    <t>b. Explain why we need to use the t-distribution. What assumption do you need to make?</t>
  </si>
  <si>
    <t>c. For a 95% confidence interval, what is the value of t?</t>
  </si>
  <si>
    <t>d. What is the margin of error?</t>
  </si>
  <si>
    <t>e. Develop the 95% confidence interval for the population mean.</t>
  </si>
  <si>
    <t>f. Would it be reasonable to conclude that the population mean is 21 eggs? What about 25 eggs?</t>
  </si>
  <si>
    <t>Ex11. The owner of Britten’s Egg Farm wants to estimate the mean number of eggs produced </t>
  </si>
  <si>
    <t>sample_std_dev</t>
  </si>
  <si>
    <t>Confidence interval sigma unknown</t>
  </si>
  <si>
    <t>CONFIDENCE INTERVALS (Unknown SIGMA)</t>
  </si>
  <si>
    <t>t-value</t>
  </si>
  <si>
    <t>per t_table</t>
  </si>
  <si>
    <t>degrees_freedom</t>
  </si>
  <si>
    <t>n-1</t>
  </si>
  <si>
    <t>We don't know, our best estimate is the sample mean</t>
  </si>
  <si>
    <t>margin_of_error</t>
  </si>
  <si>
    <t>=t-value * (sample_std_dev / SQRT(observations))</t>
  </si>
  <si>
    <t>sample_mean - margin_of_error</t>
  </si>
  <si>
    <t>sample_mean + margin_of_error</t>
  </si>
  <si>
    <t>employers in downtown Toledo, Ohio. They are considering jointly offering </t>
  </si>
  <si>
    <t>child care for their employees. As a part of the feasibility study, they </t>
  </si>
  <si>
    <t>wish to estimate the mean weekly child-care cost of their employees. </t>
  </si>
  <si>
    <t>A sample of 10 employees who use child care reveals the following amounts </t>
  </si>
  <si>
    <t>spent last week.</t>
  </si>
  <si>
    <t>Develop a 90% confidence interval for the population mean. Interpret the result.</t>
  </si>
  <si>
    <t>Ex13. Merrill Lynch Securities and Health Care Retirement Inc. are two large </t>
  </si>
  <si>
    <t>proportion of customers who pay at the pump using a credit card or debit </t>
  </si>
  <si>
    <t>card. He surveys 100 customers and finds that 85 paid at the pump.</t>
  </si>
  <si>
    <t>a. Estimate the value of the population proportion.</t>
  </si>
  <si>
    <t>b. Develop a 95% confidence interval for the population proportion.</t>
  </si>
  <si>
    <t>c. Interpret your findings.</t>
  </si>
  <si>
    <t>Ex15. The owner of the West End Kwick Fill Gas Station wishes to determine the </t>
  </si>
  <si>
    <t>Confidence Interval for a proportion</t>
  </si>
  <si>
    <t>CONFIDENCE INTERVALS (Population Proportion)</t>
  </si>
  <si>
    <t>successes</t>
  </si>
  <si>
    <t>p</t>
  </si>
  <si>
    <t>sam ple_proportion</t>
  </si>
  <si>
    <t>=z_value * sqrt( sample_proportion * (1 - sample_proportion) / sample_observations)</t>
  </si>
  <si>
    <t xml:space="preserve">We can be 95% confident that the proportion of customers that pay at </t>
  </si>
  <si>
    <t>the pump is between 78% and 92% of all customers.</t>
  </si>
  <si>
    <t>the producers design an experiment to estimate the proportion of viewers who would watch the </t>
  </si>
  <si>
    <t>series. A random sample of 400 viewers was selected and asked to watch the first two episodes. </t>
  </si>
  <si>
    <t>After viewing the episodes, 250 viewers indicated they would watch the new series.</t>
  </si>
  <si>
    <t>a. Estimate the value of the population proportion of people who would watch the new series.</t>
  </si>
  <si>
    <t>b. Develop a 99% confidence interval for the population proportion of people who would watch the new series.</t>
  </si>
  <si>
    <t>Ex17. Netflix is considering a new romcom (romantic comedy) series. Before making a final decision, </t>
  </si>
  <si>
    <t xml:space="preserve">We can be 99% confident that the proportion of viewers that indicate that they </t>
  </si>
  <si>
    <t>would watch the new series is between 56% and 69% of all customers.</t>
  </si>
  <si>
    <t>with a 95% level of confidence. The best estimate of the population proportion </t>
  </si>
  <si>
    <t>is .15. How large a sample is required?</t>
  </si>
  <si>
    <t>Ex21. The estimate of the population proportion should be within plus or minus .05, </t>
  </si>
  <si>
    <t>Sample Size for estimating a population mean</t>
  </si>
  <si>
    <t>E</t>
  </si>
  <si>
    <t>maximum allowable error</t>
  </si>
  <si>
    <t>std normal z-value</t>
  </si>
  <si>
    <t>sample_size</t>
  </si>
  <si>
    <t>confidence_level</t>
  </si>
  <si>
    <t>point_est_pop_proportion</t>
  </si>
  <si>
    <t>=pi * (1 - pi) * (z / E)^2</t>
  </si>
  <si>
    <t>to determine the mean amount of time corporate executives watch on-demand </t>
  </si>
  <si>
    <t>television. A small pilot survey of 10 executives indicated that the mean time </t>
  </si>
  <si>
    <t>per week is 12 hours, with a standard deviation of 3 hours. The estimate of the </t>
  </si>
  <si>
    <t>mean viewing time should be within 0.25 hour. The 95% level of confidence is to </t>
  </si>
  <si>
    <t>be used. How many executives should be surveyed?</t>
  </si>
  <si>
    <t>Ex23. A large on-demand, video streaming company is designing a large-scale survey </t>
  </si>
  <si>
    <t>SAMPLE SIZE FOR ESTIMATING A POPULATION MEAN (with population proportion)</t>
  </si>
  <si>
    <t>maximum_allowable_error</t>
  </si>
  <si>
    <t>Sample size for estimating a Population Proportion</t>
  </si>
  <si>
    <t>=(z * sigma / E)^2</t>
  </si>
  <si>
    <t>SAMPLE SIZE FOR ESTIMATING A POPULATION MEAN (with pilot survey)</t>
  </si>
  <si>
    <t>would like an estimate of the mean cost per month to lease a one-bedroom apartment. </t>
  </si>
  <si>
    <t>The mean cost per month for a random sample of 40 apartments currently available for </t>
  </si>
  <si>
    <t>lease is $1,147. The standard deviation of the sample is $50.</t>
  </si>
  <si>
    <t>b. What is the point estimate of the population standard deviation?</t>
  </si>
  <si>
    <t>c. What is the margin of error for a 98% confidence interval estimate?</t>
  </si>
  <si>
    <t>d. Would it be reasonable to conclude that the population mean is $1,250 per month?</t>
  </si>
  <si>
    <t>Ex33. As part of their business promotional package, the Milwaukee Chamber of Commerce </t>
  </si>
  <si>
    <t>Not with 98% confidence.</t>
  </si>
  <si>
    <t>coaches spend a mean of 70 hours per week on coaching and recruiting during the season. A </t>
  </si>
  <si>
    <t>random sample of 50 assistant coaches showed the sample mean to be 68.6 hours, with a standard </t>
  </si>
  <si>
    <t>deviation of 8.2 hours.</t>
  </si>
  <si>
    <t>a. Using the sample data, construct a 99% confidence interval for the population mean.</t>
  </si>
  <si>
    <t>b. Does the 99% confidence interval include the value suggested by the NCAA? Interpret this result.</t>
  </si>
  <si>
    <t>c. Suppose you decided to switch from a 99% to a 95% confidence interval. Without performing any </t>
  </si>
  <si>
    <t>calculations, will the interval increase, decrease, or stay the same? Explain your choice.</t>
  </si>
  <si>
    <t>Ex37. The National Collegiate Athletic Association (NCAA) reported that college football assistant </t>
  </si>
  <si>
    <t>Yes</t>
  </si>
  <si>
    <t xml:space="preserve">It would become narrower. We are allowing for more uncertainty. </t>
  </si>
  <si>
    <t xml:space="preserve">in order to achieve a higher level of certainty with the range of the interval or the </t>
  </si>
  <si>
    <t>sample observations must increase.</t>
  </si>
  <si>
    <t>for the mean ranged from 46 to 54. He was sure that the mean of the sample </t>
  </si>
  <si>
    <t>was 50, that the standard deviation of the sample was 16, and that the </t>
  </si>
  <si>
    <t>sample size was at least 30, but could not remember the exact number. </t>
  </si>
  <si>
    <t>Can you help him out?</t>
  </si>
  <si>
    <t>Ex39. A student conducted a study and reported that the 95% confidence interval </t>
  </si>
  <si>
    <t>new rules limiting work hours for all residents. A key component of these rules is </t>
  </si>
  <si>
    <t>that residents should work no more than 80 hours per week. The following is the number </t>
  </si>
  <si>
    <t>of weekly hours worked in 2017 by a sample of residents at the Tidelands Medical Center.</t>
  </si>
  <si>
    <t>a. What is the point estimate of the population mean for the number of weekly hours worked at the Tidelands Medical Center?</t>
  </si>
  <si>
    <t>c. What is the margin of error for a 90% confidence interval estimate?</t>
  </si>
  <si>
    <t>d. Develop a 90% confidence interval for the population mean.</t>
  </si>
  <si>
    <t>e. Is the Tidelands Medical Center within the ACGME guideline? Why?</t>
  </si>
  <si>
    <t>Ex43. In 2003, the Accreditation Council for Graduate Medical Education (ACGME) implemented </t>
  </si>
  <si>
    <t>No, 80 falls outside the conf interval.</t>
  </si>
  <si>
    <t>Last year in the 400 random tests conducted, 14 employees failed the test.</t>
  </si>
  <si>
    <t>a. What is the point estimate of the population proportion?</t>
  </si>
  <si>
    <t>b. What is the margin of error for a 99% confidence interval estimate?</t>
  </si>
  <si>
    <t>c. Compute the 99% confidence interval for the population proportion.</t>
  </si>
  <si>
    <t>d. Is it reasonable to conclude that 5% of the employees cannot pass the company policy test? Why?</t>
  </si>
  <si>
    <t>Ex47. HighTech Inc. randomly tests its employees about company policies. </t>
  </si>
  <si>
    <t>Yes 5% is within the confidence interval</t>
  </si>
  <si>
    <t>this statement for your class in mass communications. If you want your estimate to be within </t>
  </si>
  <si>
    <t>5 percentage points, with a 95% level of confidence, how many households should you sample?</t>
  </si>
  <si>
    <t>Ex53. It is estimated that 60% of U.S. households subscribe to cable TV. You would like to verify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</si>
</sst>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00%"/>
    <numFmt numFmtId="166" formatCode="0.0000"/>
    <numFmt numFmtId="168" formatCode="0.0"/>
    <numFmt numFmtId="169" formatCode="0.0%"/>
  </numFmts>
  <fonts count="8" x14ac:knownFonts="1">
    <font>
      <sz val="9"/>
      <color theme="1"/>
      <name val="Arial"/>
      <family val="2"/>
    </font>
    <font>
      <sz val="9"/>
      <color theme="1"/>
      <name val="Arial"/>
      <family val="2"/>
    </font>
    <font>
      <sz val="9"/>
      <color rgb="FF0000FF"/>
      <name val="Arial"/>
      <family val="2"/>
    </font>
    <font>
      <b/>
      <sz val="9"/>
      <color theme="1"/>
      <name val="Arial"/>
      <family val="2"/>
    </font>
    <font>
      <i/>
      <sz val="9"/>
      <color theme="1"/>
      <name val="Arial"/>
      <family val="2"/>
    </font>
    <font>
      <b/>
      <i/>
      <sz val="9"/>
      <color theme="1"/>
      <name val="Arial"/>
      <family val="2"/>
    </font>
    <font>
      <i/>
      <sz val="9"/>
      <name val="Arial"/>
      <family val="2"/>
    </font>
    <font>
      <u/>
      <sz val="9"/>
      <color theme="1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cellStyleXfs>
  <cellXfs count="103">
    <xf numFmtId="0" fontId="0" fillId="0" borderId="0" xfId="0"/>
    <xf numFmtId="9" fontId="0" fillId="0" borderId="0" xfId="1" applyFont="1"/>
    <xf numFmtId="164" fontId="0" fillId="0" borderId="0" xfId="0" applyNumberFormat="1"/>
    <xf numFmtId="0" fontId="2" fillId="0" borderId="0" xfId="0" applyFont="1"/>
    <xf numFmtId="20" fontId="0" fillId="0" borderId="0" xfId="0" applyNumberFormat="1"/>
    <xf numFmtId="0" fontId="0" fillId="0" borderId="0" xfId="0" applyAlignment="1">
      <alignment horizontal="right"/>
    </xf>
    <xf numFmtId="10" fontId="0" fillId="0" borderId="0" xfId="1" applyNumberFormat="1" applyFont="1"/>
    <xf numFmtId="2" fontId="0" fillId="0" borderId="0" xfId="0" applyNumberFormat="1"/>
    <xf numFmtId="0" fontId="0" fillId="0" borderId="0" xfId="0" quotePrefix="1"/>
    <xf numFmtId="165" fontId="0" fillId="0" borderId="0" xfId="1" applyNumberFormat="1" applyFont="1"/>
    <xf numFmtId="0" fontId="0" fillId="0" borderId="0" xfId="0" applyAlignment="1">
      <alignment horizontal="center"/>
    </xf>
    <xf numFmtId="2" fontId="0" fillId="0" borderId="0" xfId="0" applyNumberFormat="1" applyAlignment="1">
      <alignment horizontal="center"/>
    </xf>
    <xf numFmtId="166" fontId="0" fillId="0" borderId="0" xfId="0" applyNumberFormat="1"/>
    <xf numFmtId="0" fontId="0" fillId="0" borderId="0" xfId="0" applyAlignment="1"/>
    <xf numFmtId="0" fontId="0" fillId="0" borderId="0" xfId="0" applyAlignment="1">
      <alignment vertical="center" wrapText="1"/>
    </xf>
    <xf numFmtId="164" fontId="0" fillId="0" borderId="0" xfId="0" applyNumberFormat="1" applyAlignment="1">
      <alignment horizontal="center"/>
    </xf>
    <xf numFmtId="0" fontId="3" fillId="0" borderId="0" xfId="0" applyFont="1" applyAlignment="1">
      <alignment horizontal="center"/>
    </xf>
    <xf numFmtId="0" fontId="3" fillId="0" borderId="0" xfId="0" applyFont="1"/>
    <xf numFmtId="2" fontId="3" fillId="0" borderId="0" xfId="0" applyNumberFormat="1" applyFont="1" applyAlignment="1">
      <alignment horizontal="center"/>
    </xf>
    <xf numFmtId="0" fontId="3" fillId="0" borderId="0" xfId="0" applyFont="1" applyAlignment="1">
      <alignment horizontal="right"/>
    </xf>
    <xf numFmtId="0" fontId="4" fillId="0" borderId="0" xfId="0" applyFont="1"/>
    <xf numFmtId="2" fontId="3" fillId="0" borderId="0" xfId="0" applyNumberFormat="1" applyFont="1"/>
    <xf numFmtId="166" fontId="3" fillId="0" borderId="0" xfId="0" applyNumberFormat="1" applyFont="1"/>
    <xf numFmtId="164" fontId="3" fillId="0" borderId="0" xfId="0" applyNumberFormat="1" applyFont="1"/>
    <xf numFmtId="1" fontId="0" fillId="0" borderId="0" xfId="0" applyNumberFormat="1"/>
    <xf numFmtId="0" fontId="4" fillId="0" borderId="0" xfId="0" applyFont="1" applyAlignment="1">
      <alignment horizontal="right"/>
    </xf>
    <xf numFmtId="0" fontId="0" fillId="0" borderId="0" xfId="0" applyFont="1"/>
    <xf numFmtId="164" fontId="4" fillId="0" borderId="0" xfId="0" applyNumberFormat="1" applyFont="1"/>
    <xf numFmtId="1" fontId="4" fillId="0" borderId="0" xfId="0" applyNumberFormat="1" applyFont="1"/>
    <xf numFmtId="2" fontId="4" fillId="0" borderId="0" xfId="0" applyNumberFormat="1" applyFont="1"/>
    <xf numFmtId="164" fontId="4" fillId="0" borderId="0" xfId="0" applyNumberFormat="1" applyFont="1" applyAlignment="1"/>
    <xf numFmtId="166" fontId="4" fillId="0" borderId="0" xfId="0" applyNumberFormat="1" applyFont="1"/>
    <xf numFmtId="0" fontId="4" fillId="0" borderId="0" xfId="0" quotePrefix="1" applyFont="1"/>
    <xf numFmtId="164" fontId="4" fillId="0" borderId="0" xfId="0" quotePrefix="1" applyNumberFormat="1" applyFont="1"/>
    <xf numFmtId="166" fontId="4" fillId="0" borderId="0" xfId="0" quotePrefix="1" applyNumberFormat="1" applyFont="1"/>
    <xf numFmtId="0" fontId="5" fillId="0" borderId="0" xfId="0" applyFont="1" applyAlignment="1">
      <alignment horizontal="right"/>
    </xf>
    <xf numFmtId="166" fontId="5" fillId="0" borderId="0" xfId="0" applyNumberFormat="1" applyFont="1"/>
    <xf numFmtId="1" fontId="6" fillId="2" borderId="0" xfId="0" applyNumberFormat="1" applyFont="1" applyFill="1"/>
    <xf numFmtId="169" fontId="6" fillId="2" borderId="0" xfId="1" applyNumberFormat="1" applyFont="1" applyFill="1"/>
    <xf numFmtId="1" fontId="4" fillId="2" borderId="0" xfId="0" applyNumberFormat="1" applyFont="1" applyFill="1"/>
    <xf numFmtId="169" fontId="4" fillId="2" borderId="0" xfId="1" applyNumberFormat="1" applyFont="1" applyFill="1"/>
    <xf numFmtId="168" fontId="3" fillId="0" borderId="0" xfId="0" applyNumberFormat="1" applyFont="1"/>
    <xf numFmtId="2" fontId="4" fillId="2" borderId="0" xfId="0" applyNumberFormat="1" applyFont="1" applyFill="1"/>
    <xf numFmtId="0" fontId="4" fillId="2" borderId="0" xfId="0" applyFont="1" applyFill="1"/>
    <xf numFmtId="0" fontId="3" fillId="0" borderId="0" xfId="0" applyFont="1" applyAlignment="1">
      <alignment horizontal="center" vertical="center" wrapText="1"/>
    </xf>
    <xf numFmtId="0" fontId="0" fillId="0" borderId="0" xfId="0" applyAlignment="1">
      <alignment horizontal="left"/>
    </xf>
    <xf numFmtId="0" fontId="0" fillId="0" borderId="0" xfId="0" applyFont="1" applyAlignment="1">
      <alignment vertical="center" wrapText="1"/>
    </xf>
    <xf numFmtId="10" fontId="4" fillId="2" borderId="0" xfId="1" applyNumberFormat="1" applyFont="1" applyFill="1"/>
    <xf numFmtId="0" fontId="4" fillId="0" borderId="0" xfId="0" applyFont="1" applyFill="1"/>
    <xf numFmtId="1" fontId="4" fillId="0" borderId="0" xfId="0" applyNumberFormat="1" applyFont="1" applyFill="1"/>
    <xf numFmtId="166" fontId="4" fillId="0" borderId="0" xfId="2" applyNumberFormat="1" applyFont="1"/>
    <xf numFmtId="9" fontId="4" fillId="2" borderId="0" xfId="1" applyFont="1" applyFill="1"/>
    <xf numFmtId="9" fontId="4" fillId="0" borderId="0" xfId="1" applyFont="1" applyFill="1"/>
    <xf numFmtId="0" fontId="5" fillId="0" borderId="0" xfId="0" applyFont="1" applyAlignment="1">
      <alignment horizontal="center" vertical="center" wrapText="1"/>
    </xf>
    <xf numFmtId="2" fontId="3" fillId="0" borderId="0" xfId="0" applyNumberFormat="1" applyFont="1" applyAlignment="1">
      <alignment horizontal="center" vertical="center" wrapText="1"/>
    </xf>
    <xf numFmtId="9" fontId="3" fillId="0" borderId="0" xfId="0" applyNumberFormat="1" applyFont="1" applyAlignment="1">
      <alignment horizontal="center" vertical="center" wrapText="1"/>
    </xf>
    <xf numFmtId="10" fontId="3" fillId="0" borderId="0" xfId="0" applyNumberFormat="1" applyFont="1" applyAlignment="1">
      <alignment horizontal="center" vertical="center" wrapText="1"/>
    </xf>
    <xf numFmtId="169" fontId="4" fillId="0" borderId="0" xfId="1" applyNumberFormat="1" applyFont="1" applyFill="1"/>
    <xf numFmtId="0" fontId="3"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7" fillId="0" borderId="1" xfId="3" applyBorder="1" applyAlignment="1">
      <alignment horizontal="center" vertical="center" wrapText="1"/>
    </xf>
    <xf numFmtId="0" fontId="7" fillId="0" borderId="7" xfId="3" applyBorder="1" applyAlignment="1">
      <alignment horizontal="center" vertical="center" wrapText="1"/>
    </xf>
    <xf numFmtId="0" fontId="7" fillId="0" borderId="2" xfId="3" applyBorder="1" applyAlignment="1">
      <alignment horizontal="center" vertical="center" wrapText="1"/>
    </xf>
    <xf numFmtId="0" fontId="7" fillId="0" borderId="3" xfId="3" applyBorder="1" applyAlignment="1">
      <alignment horizontal="center" vertical="center" wrapText="1"/>
    </xf>
    <xf numFmtId="0" fontId="7" fillId="0" borderId="0" xfId="3" applyBorder="1" applyAlignment="1">
      <alignment horizontal="center" vertical="center" wrapText="1"/>
    </xf>
    <xf numFmtId="0" fontId="7" fillId="0" borderId="4" xfId="3" applyBorder="1" applyAlignment="1">
      <alignment horizontal="center" vertical="center" wrapText="1"/>
    </xf>
    <xf numFmtId="0" fontId="7" fillId="0" borderId="5" xfId="3" applyBorder="1" applyAlignment="1">
      <alignment horizontal="center" vertical="center" wrapText="1"/>
    </xf>
    <xf numFmtId="0" fontId="7" fillId="0" borderId="8" xfId="3" applyBorder="1" applyAlignment="1">
      <alignment horizontal="center" vertical="center" wrapText="1"/>
    </xf>
    <xf numFmtId="0" fontId="7" fillId="0" borderId="6" xfId="3" applyBorder="1" applyAlignment="1">
      <alignment horizontal="center" vertical="center" wrapText="1"/>
    </xf>
    <xf numFmtId="0" fontId="0" fillId="2" borderId="0" xfId="0" applyFill="1"/>
    <xf numFmtId="166" fontId="0" fillId="0" borderId="0" xfId="0" applyNumberFormat="1" applyFont="1"/>
    <xf numFmtId="166" fontId="0" fillId="2" borderId="0" xfId="0" applyNumberFormat="1" applyFill="1"/>
    <xf numFmtId="9" fontId="0" fillId="0" borderId="0" xfId="1" applyFont="1" applyAlignment="1">
      <alignment horizontal="center"/>
    </xf>
    <xf numFmtId="0" fontId="0" fillId="2" borderId="0" xfId="0" applyFill="1" applyAlignment="1">
      <alignment horizontal="right"/>
    </xf>
    <xf numFmtId="166" fontId="0" fillId="0" borderId="0" xfId="0" applyNumberFormat="1" applyAlignment="1">
      <alignment horizontal="right"/>
    </xf>
    <xf numFmtId="10" fontId="0" fillId="2" borderId="0" xfId="1" applyNumberFormat="1" applyFont="1" applyFill="1"/>
    <xf numFmtId="0" fontId="7" fillId="0" borderId="0" xfId="3"/>
    <xf numFmtId="164" fontId="0" fillId="2" borderId="0" xfId="0" applyNumberFormat="1" applyFill="1" applyAlignment="1">
      <alignment vertical="center" wrapText="1"/>
    </xf>
    <xf numFmtId="166" fontId="0" fillId="0" borderId="0" xfId="0" applyNumberFormat="1" applyAlignment="1">
      <alignment vertical="center" wrapText="1"/>
    </xf>
    <xf numFmtId="168" fontId="3" fillId="0" borderId="0" xfId="0" applyNumberFormat="1" applyFont="1" applyAlignment="1">
      <alignment horizontal="center" vertical="center" wrapText="1"/>
    </xf>
    <xf numFmtId="9" fontId="0" fillId="2" borderId="0" xfId="1" applyFont="1" applyFill="1"/>
    <xf numFmtId="166" fontId="3" fillId="0" borderId="0" xfId="0" applyNumberFormat="1" applyFont="1" applyAlignment="1">
      <alignment horizontal="right"/>
    </xf>
    <xf numFmtId="166" fontId="0" fillId="2" borderId="0" xfId="0" applyNumberFormat="1" applyFill="1" applyAlignment="1">
      <alignment horizontal="right"/>
    </xf>
    <xf numFmtId="9" fontId="0" fillId="0" borderId="0" xfId="0" applyNumberFormat="1"/>
    <xf numFmtId="9" fontId="4" fillId="0" borderId="0" xfId="1" applyFont="1" applyAlignment="1">
      <alignment horizontal="right"/>
    </xf>
    <xf numFmtId="9" fontId="4" fillId="0" borderId="0" xfId="1" applyFont="1"/>
    <xf numFmtId="166" fontId="0" fillId="0" borderId="0" xfId="0" applyNumberFormat="1" applyFill="1"/>
  </cellXfs>
  <cellStyles count="4">
    <cellStyle name="Comma" xfId="2" builtinId="3"/>
    <cellStyle name="Hyperlink" xfId="3" builtinId="8"/>
    <cellStyle name="Normal" xfId="0" builtinId="0"/>
    <cellStyle name="Percent" xfId="1" builtinId="5"/>
  </cellStyles>
  <dxfs count="4">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C1419CEA-CCEF-4B44-9608-84AF80A2AC68}">
          <cx:dataId val="0"/>
          <cx:layoutPr>
            <cx:binning intervalClosed="r">
              <cx:binSize val="0.5"/>
            </cx:binning>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clusteredColumn" uniqueId="{C18979EB-4B1F-41C8-9D2C-217BB99537E3}">
          <cx:dataId val="0"/>
          <cx:layoutPr>
            <cx:binning intervalClosed="r">
              <cx:binSize val="0.5"/>
            </cx:binning>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5.png"/><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5" Type="http://schemas.openxmlformats.org/officeDocument/2006/relationships/image" Target="../media/image53.png"/><Relationship Id="rId4" Type="http://schemas.openxmlformats.org/officeDocument/2006/relationships/image" Target="../media/image52.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6.png"/><Relationship Id="rId2" Type="http://schemas.openxmlformats.org/officeDocument/2006/relationships/image" Target="../media/image55.png"/><Relationship Id="rId1" Type="http://schemas.openxmlformats.org/officeDocument/2006/relationships/image" Target="../media/image54.png"/><Relationship Id="rId5" Type="http://schemas.openxmlformats.org/officeDocument/2006/relationships/image" Target="../media/image58.png"/><Relationship Id="rId4" Type="http://schemas.openxmlformats.org/officeDocument/2006/relationships/image" Target="../media/image57.png"/></Relationships>
</file>

<file path=xl/drawings/_rels/drawing17.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6" Type="http://schemas.openxmlformats.org/officeDocument/2006/relationships/image" Target="../media/image64.png"/><Relationship Id="rId5" Type="http://schemas.openxmlformats.org/officeDocument/2006/relationships/image" Target="../media/image63.png"/><Relationship Id="rId4" Type="http://schemas.openxmlformats.org/officeDocument/2006/relationships/image" Target="../media/image6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67.png"/><Relationship Id="rId2" Type="http://schemas.openxmlformats.org/officeDocument/2006/relationships/image" Target="../media/image66.png"/><Relationship Id="rId1" Type="http://schemas.openxmlformats.org/officeDocument/2006/relationships/image" Target="../media/image65.png"/><Relationship Id="rId4" Type="http://schemas.openxmlformats.org/officeDocument/2006/relationships/image" Target="../media/image68.png"/></Relationships>
</file>

<file path=xl/drawings/_rels/drawing19.xml.rels><?xml version="1.0" encoding="UTF-8" standalone="yes"?>
<Relationships xmlns="http://schemas.openxmlformats.org/package/2006/relationships"><Relationship Id="rId2" Type="http://schemas.openxmlformats.org/officeDocument/2006/relationships/image" Target="../media/image70.png"/><Relationship Id="rId1" Type="http://schemas.openxmlformats.org/officeDocument/2006/relationships/image" Target="../media/image6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7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7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7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1.png"/><Relationship Id="rId7" Type="http://schemas.microsoft.com/office/2014/relationships/chartEx" Target="../charts/chartEx2.xml"/><Relationship Id="rId2" Type="http://schemas.openxmlformats.org/officeDocument/2006/relationships/image" Target="../media/image20.png"/><Relationship Id="rId1" Type="http://schemas.openxmlformats.org/officeDocument/2006/relationships/image" Target="../media/image19.png"/><Relationship Id="rId6" Type="http://schemas.microsoft.com/office/2014/relationships/chartEx" Target="../charts/chartEx1.xml"/><Relationship Id="rId11" Type="http://schemas.openxmlformats.org/officeDocument/2006/relationships/image" Target="../media/image27.png"/><Relationship Id="rId5" Type="http://schemas.openxmlformats.org/officeDocument/2006/relationships/image" Target="../media/image23.png"/><Relationship Id="rId10" Type="http://schemas.openxmlformats.org/officeDocument/2006/relationships/image" Target="../media/image26.png"/><Relationship Id="rId4" Type="http://schemas.openxmlformats.org/officeDocument/2006/relationships/image" Target="../media/image22.png"/><Relationship Id="rId9"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65752</xdr:colOff>
      <xdr:row>49</xdr:row>
      <xdr:rowOff>75276</xdr:rowOff>
    </xdr:to>
    <xdr:pic>
      <xdr:nvPicPr>
        <xdr:cNvPr id="10" name="Picture 9">
          <a:extLst>
            <a:ext uri="{FF2B5EF4-FFF2-40B4-BE49-F238E27FC236}">
              <a16:creationId xmlns:a16="http://schemas.microsoft.com/office/drawing/2014/main" id="{0B39647A-D550-4870-B9C6-00F59506A22D}"/>
            </a:ext>
          </a:extLst>
        </xdr:cNvPr>
        <xdr:cNvPicPr>
          <a:picLocks noChangeAspect="1"/>
        </xdr:cNvPicPr>
      </xdr:nvPicPr>
      <xdr:blipFill>
        <a:blip xmlns:r="http://schemas.openxmlformats.org/officeDocument/2006/relationships" r:embed="rId1"/>
        <a:stretch>
          <a:fillRect/>
        </a:stretch>
      </xdr:blipFill>
      <xdr:spPr>
        <a:xfrm>
          <a:off x="0" y="152400"/>
          <a:ext cx="7380952" cy="73904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12</xdr:col>
      <xdr:colOff>246705</xdr:colOff>
      <xdr:row>9</xdr:row>
      <xdr:rowOff>142724</xdr:rowOff>
    </xdr:to>
    <xdr:pic>
      <xdr:nvPicPr>
        <xdr:cNvPr id="2" name="Picture 1">
          <a:extLst>
            <a:ext uri="{FF2B5EF4-FFF2-40B4-BE49-F238E27FC236}">
              <a16:creationId xmlns:a16="http://schemas.microsoft.com/office/drawing/2014/main" id="{71FB744D-5B18-4E26-81F5-679AA6E2596A}"/>
            </a:ext>
          </a:extLst>
        </xdr:cNvPr>
        <xdr:cNvPicPr>
          <a:picLocks noChangeAspect="1"/>
        </xdr:cNvPicPr>
      </xdr:nvPicPr>
      <xdr:blipFill>
        <a:blip xmlns:r="http://schemas.openxmlformats.org/officeDocument/2006/relationships" r:embed="rId1"/>
        <a:stretch>
          <a:fillRect/>
        </a:stretch>
      </xdr:blipFill>
      <xdr:spPr>
        <a:xfrm>
          <a:off x="0" y="304800"/>
          <a:ext cx="7561905" cy="1209524"/>
        </a:xfrm>
        <a:prstGeom prst="rect">
          <a:avLst/>
        </a:prstGeom>
      </xdr:spPr>
    </xdr:pic>
    <xdr:clientData/>
  </xdr:twoCellAnchor>
  <xdr:twoCellAnchor editAs="oneCell">
    <xdr:from>
      <xdr:col>0</xdr:col>
      <xdr:colOff>0</xdr:colOff>
      <xdr:row>11</xdr:row>
      <xdr:rowOff>0</xdr:rowOff>
    </xdr:from>
    <xdr:to>
      <xdr:col>12</xdr:col>
      <xdr:colOff>256228</xdr:colOff>
      <xdr:row>28</xdr:row>
      <xdr:rowOff>9200</xdr:rowOff>
    </xdr:to>
    <xdr:pic>
      <xdr:nvPicPr>
        <xdr:cNvPr id="3" name="Picture 2">
          <a:extLst>
            <a:ext uri="{FF2B5EF4-FFF2-40B4-BE49-F238E27FC236}">
              <a16:creationId xmlns:a16="http://schemas.microsoft.com/office/drawing/2014/main" id="{C7BCF62E-43CF-45E4-BEDC-0E05F6BB8940}"/>
            </a:ext>
          </a:extLst>
        </xdr:cNvPr>
        <xdr:cNvPicPr>
          <a:picLocks noChangeAspect="1"/>
        </xdr:cNvPicPr>
      </xdr:nvPicPr>
      <xdr:blipFill>
        <a:blip xmlns:r="http://schemas.openxmlformats.org/officeDocument/2006/relationships" r:embed="rId2"/>
        <a:stretch>
          <a:fillRect/>
        </a:stretch>
      </xdr:blipFill>
      <xdr:spPr>
        <a:xfrm>
          <a:off x="0" y="1524000"/>
          <a:ext cx="7571428" cy="2600000"/>
        </a:xfrm>
        <a:prstGeom prst="rect">
          <a:avLst/>
        </a:prstGeom>
      </xdr:spPr>
    </xdr:pic>
    <xdr:clientData/>
  </xdr:twoCellAnchor>
  <xdr:twoCellAnchor editAs="oneCell">
    <xdr:from>
      <xdr:col>0</xdr:col>
      <xdr:colOff>0</xdr:colOff>
      <xdr:row>29</xdr:row>
      <xdr:rowOff>0</xdr:rowOff>
    </xdr:from>
    <xdr:to>
      <xdr:col>12</xdr:col>
      <xdr:colOff>218133</xdr:colOff>
      <xdr:row>34</xdr:row>
      <xdr:rowOff>28476</xdr:rowOff>
    </xdr:to>
    <xdr:pic>
      <xdr:nvPicPr>
        <xdr:cNvPr id="4" name="Picture 3">
          <a:extLst>
            <a:ext uri="{FF2B5EF4-FFF2-40B4-BE49-F238E27FC236}">
              <a16:creationId xmlns:a16="http://schemas.microsoft.com/office/drawing/2014/main" id="{5AB99BC7-BFBE-4276-B637-A1EDC86B0A0C}"/>
            </a:ext>
          </a:extLst>
        </xdr:cNvPr>
        <xdr:cNvPicPr>
          <a:picLocks noChangeAspect="1"/>
        </xdr:cNvPicPr>
      </xdr:nvPicPr>
      <xdr:blipFill>
        <a:blip xmlns:r="http://schemas.openxmlformats.org/officeDocument/2006/relationships" r:embed="rId3"/>
        <a:stretch>
          <a:fillRect/>
        </a:stretch>
      </xdr:blipFill>
      <xdr:spPr>
        <a:xfrm>
          <a:off x="0" y="4419600"/>
          <a:ext cx="7533333" cy="790476"/>
        </a:xfrm>
        <a:prstGeom prst="rect">
          <a:avLst/>
        </a:prstGeom>
      </xdr:spPr>
    </xdr:pic>
    <xdr:clientData/>
  </xdr:twoCellAnchor>
  <xdr:twoCellAnchor editAs="oneCell">
    <xdr:from>
      <xdr:col>0</xdr:col>
      <xdr:colOff>0</xdr:colOff>
      <xdr:row>36</xdr:row>
      <xdr:rowOff>0</xdr:rowOff>
    </xdr:from>
    <xdr:to>
      <xdr:col>16</xdr:col>
      <xdr:colOff>294019</xdr:colOff>
      <xdr:row>41</xdr:row>
      <xdr:rowOff>28476</xdr:rowOff>
    </xdr:to>
    <xdr:pic>
      <xdr:nvPicPr>
        <xdr:cNvPr id="5" name="Picture 4">
          <a:extLst>
            <a:ext uri="{FF2B5EF4-FFF2-40B4-BE49-F238E27FC236}">
              <a16:creationId xmlns:a16="http://schemas.microsoft.com/office/drawing/2014/main" id="{75003B70-486C-4EAE-8C00-305606ABCFFC}"/>
            </a:ext>
          </a:extLst>
        </xdr:cNvPr>
        <xdr:cNvPicPr>
          <a:picLocks noChangeAspect="1"/>
        </xdr:cNvPicPr>
      </xdr:nvPicPr>
      <xdr:blipFill>
        <a:blip xmlns:r="http://schemas.openxmlformats.org/officeDocument/2006/relationships" r:embed="rId4"/>
        <a:stretch>
          <a:fillRect/>
        </a:stretch>
      </xdr:blipFill>
      <xdr:spPr>
        <a:xfrm>
          <a:off x="0" y="5486400"/>
          <a:ext cx="10047619" cy="790476"/>
        </a:xfrm>
        <a:prstGeom prst="rect">
          <a:avLst/>
        </a:prstGeom>
      </xdr:spPr>
    </xdr:pic>
    <xdr:clientData/>
  </xdr:twoCellAnchor>
  <xdr:twoCellAnchor editAs="oneCell">
    <xdr:from>
      <xdr:col>0</xdr:col>
      <xdr:colOff>0</xdr:colOff>
      <xdr:row>43</xdr:row>
      <xdr:rowOff>0</xdr:rowOff>
    </xdr:from>
    <xdr:to>
      <xdr:col>16</xdr:col>
      <xdr:colOff>351162</xdr:colOff>
      <xdr:row>65</xdr:row>
      <xdr:rowOff>56724</xdr:rowOff>
    </xdr:to>
    <xdr:pic>
      <xdr:nvPicPr>
        <xdr:cNvPr id="6" name="Picture 5">
          <a:extLst>
            <a:ext uri="{FF2B5EF4-FFF2-40B4-BE49-F238E27FC236}">
              <a16:creationId xmlns:a16="http://schemas.microsoft.com/office/drawing/2014/main" id="{9B3FF9A4-799A-47A0-AF3E-C315D939FC5F}"/>
            </a:ext>
          </a:extLst>
        </xdr:cNvPr>
        <xdr:cNvPicPr>
          <a:picLocks noChangeAspect="1"/>
        </xdr:cNvPicPr>
      </xdr:nvPicPr>
      <xdr:blipFill>
        <a:blip xmlns:r="http://schemas.openxmlformats.org/officeDocument/2006/relationships" r:embed="rId5"/>
        <a:stretch>
          <a:fillRect/>
        </a:stretch>
      </xdr:blipFill>
      <xdr:spPr>
        <a:xfrm>
          <a:off x="0" y="6553200"/>
          <a:ext cx="10104762" cy="3409524"/>
        </a:xfrm>
        <a:prstGeom prst="rect">
          <a:avLst/>
        </a:prstGeom>
      </xdr:spPr>
    </xdr:pic>
    <xdr:clientData/>
  </xdr:twoCellAnchor>
  <xdr:twoCellAnchor editAs="oneCell">
    <xdr:from>
      <xdr:col>0</xdr:col>
      <xdr:colOff>0</xdr:colOff>
      <xdr:row>66</xdr:row>
      <xdr:rowOff>0</xdr:rowOff>
    </xdr:from>
    <xdr:to>
      <xdr:col>16</xdr:col>
      <xdr:colOff>351162</xdr:colOff>
      <xdr:row>71</xdr:row>
      <xdr:rowOff>123714</xdr:rowOff>
    </xdr:to>
    <xdr:pic>
      <xdr:nvPicPr>
        <xdr:cNvPr id="7" name="Picture 6">
          <a:extLst>
            <a:ext uri="{FF2B5EF4-FFF2-40B4-BE49-F238E27FC236}">
              <a16:creationId xmlns:a16="http://schemas.microsoft.com/office/drawing/2014/main" id="{18E9C33D-8D37-4DBC-891F-74F2B353A57F}"/>
            </a:ext>
          </a:extLst>
        </xdr:cNvPr>
        <xdr:cNvPicPr>
          <a:picLocks noChangeAspect="1"/>
        </xdr:cNvPicPr>
      </xdr:nvPicPr>
      <xdr:blipFill>
        <a:blip xmlns:r="http://schemas.openxmlformats.org/officeDocument/2006/relationships" r:embed="rId6"/>
        <a:stretch>
          <a:fillRect/>
        </a:stretch>
      </xdr:blipFill>
      <xdr:spPr>
        <a:xfrm>
          <a:off x="0" y="10058400"/>
          <a:ext cx="10104762" cy="885714"/>
        </a:xfrm>
        <a:prstGeom prst="rect">
          <a:avLst/>
        </a:prstGeom>
      </xdr:spPr>
    </xdr:pic>
    <xdr:clientData/>
  </xdr:twoCellAnchor>
  <xdr:twoCellAnchor editAs="oneCell">
    <xdr:from>
      <xdr:col>0</xdr:col>
      <xdr:colOff>0</xdr:colOff>
      <xdr:row>73</xdr:row>
      <xdr:rowOff>0</xdr:rowOff>
    </xdr:from>
    <xdr:to>
      <xdr:col>16</xdr:col>
      <xdr:colOff>370209</xdr:colOff>
      <xdr:row>98</xdr:row>
      <xdr:rowOff>37619</xdr:rowOff>
    </xdr:to>
    <xdr:pic>
      <xdr:nvPicPr>
        <xdr:cNvPr id="8" name="Picture 7">
          <a:extLst>
            <a:ext uri="{FF2B5EF4-FFF2-40B4-BE49-F238E27FC236}">
              <a16:creationId xmlns:a16="http://schemas.microsoft.com/office/drawing/2014/main" id="{49CB8AE3-1EA3-41EE-A838-A9E02AFB3791}"/>
            </a:ext>
          </a:extLst>
        </xdr:cNvPr>
        <xdr:cNvPicPr>
          <a:picLocks noChangeAspect="1"/>
        </xdr:cNvPicPr>
      </xdr:nvPicPr>
      <xdr:blipFill>
        <a:blip xmlns:r="http://schemas.openxmlformats.org/officeDocument/2006/relationships" r:embed="rId7"/>
        <a:stretch>
          <a:fillRect/>
        </a:stretch>
      </xdr:blipFill>
      <xdr:spPr>
        <a:xfrm>
          <a:off x="0" y="11125200"/>
          <a:ext cx="10123809" cy="3847619"/>
        </a:xfrm>
        <a:prstGeom prst="rect">
          <a:avLst/>
        </a:prstGeom>
      </xdr:spPr>
    </xdr:pic>
    <xdr:clientData/>
  </xdr:twoCellAnchor>
  <xdr:twoCellAnchor editAs="oneCell">
    <xdr:from>
      <xdr:col>0</xdr:col>
      <xdr:colOff>0</xdr:colOff>
      <xdr:row>100</xdr:row>
      <xdr:rowOff>0</xdr:rowOff>
    </xdr:from>
    <xdr:to>
      <xdr:col>16</xdr:col>
      <xdr:colOff>294019</xdr:colOff>
      <xdr:row>131</xdr:row>
      <xdr:rowOff>47029</xdr:rowOff>
    </xdr:to>
    <xdr:pic>
      <xdr:nvPicPr>
        <xdr:cNvPr id="9" name="Picture 8">
          <a:extLst>
            <a:ext uri="{FF2B5EF4-FFF2-40B4-BE49-F238E27FC236}">
              <a16:creationId xmlns:a16="http://schemas.microsoft.com/office/drawing/2014/main" id="{08C66123-8607-4593-BFD5-48D9FC80D127}"/>
            </a:ext>
          </a:extLst>
        </xdr:cNvPr>
        <xdr:cNvPicPr>
          <a:picLocks noChangeAspect="1"/>
        </xdr:cNvPicPr>
      </xdr:nvPicPr>
      <xdr:blipFill>
        <a:blip xmlns:r="http://schemas.openxmlformats.org/officeDocument/2006/relationships" r:embed="rId8"/>
        <a:stretch>
          <a:fillRect/>
        </a:stretch>
      </xdr:blipFill>
      <xdr:spPr>
        <a:xfrm>
          <a:off x="0" y="15240000"/>
          <a:ext cx="10047619" cy="477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F25A3A26-A288-47C7-AF85-145686AD46D3}"/>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976ACC9E-AB81-4D76-B8DA-65D5AFC1A5A6}"/>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079FA18F-B633-4F9B-9313-B6C4E9F289D8}"/>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20</xdr:col>
      <xdr:colOff>493852</xdr:colOff>
      <xdr:row>44</xdr:row>
      <xdr:rowOff>110388</xdr:rowOff>
    </xdr:to>
    <xdr:pic>
      <xdr:nvPicPr>
        <xdr:cNvPr id="2" name="Picture 1">
          <a:extLst>
            <a:ext uri="{FF2B5EF4-FFF2-40B4-BE49-F238E27FC236}">
              <a16:creationId xmlns:a16="http://schemas.microsoft.com/office/drawing/2014/main" id="{EB60D57A-F8E1-44A1-97C3-9A3E7295D0E7}"/>
            </a:ext>
          </a:extLst>
        </xdr:cNvPr>
        <xdr:cNvPicPr>
          <a:picLocks noChangeAspect="1"/>
        </xdr:cNvPicPr>
      </xdr:nvPicPr>
      <xdr:blipFill>
        <a:blip xmlns:r="http://schemas.openxmlformats.org/officeDocument/2006/relationships" r:embed="rId1"/>
        <a:stretch>
          <a:fillRect/>
        </a:stretch>
      </xdr:blipFill>
      <xdr:spPr>
        <a:xfrm>
          <a:off x="609600" y="914400"/>
          <a:ext cx="11580952" cy="5895238"/>
        </a:xfrm>
        <a:prstGeom prst="rect">
          <a:avLst/>
        </a:prstGeom>
      </xdr:spPr>
    </xdr:pic>
    <xdr:clientData/>
  </xdr:twoCellAnchor>
  <xdr:twoCellAnchor editAs="oneCell">
    <xdr:from>
      <xdr:col>22</xdr:col>
      <xdr:colOff>0</xdr:colOff>
      <xdr:row>5</xdr:row>
      <xdr:rowOff>0</xdr:rowOff>
    </xdr:from>
    <xdr:to>
      <xdr:col>37</xdr:col>
      <xdr:colOff>408381</xdr:colOff>
      <xdr:row>36</xdr:row>
      <xdr:rowOff>123219</xdr:rowOff>
    </xdr:to>
    <xdr:pic>
      <xdr:nvPicPr>
        <xdr:cNvPr id="3" name="Picture 2">
          <a:extLst>
            <a:ext uri="{FF2B5EF4-FFF2-40B4-BE49-F238E27FC236}">
              <a16:creationId xmlns:a16="http://schemas.microsoft.com/office/drawing/2014/main" id="{4FFD017C-A98A-4DB6-A2B1-2BD1C21909A5}"/>
            </a:ext>
          </a:extLst>
        </xdr:cNvPr>
        <xdr:cNvPicPr>
          <a:picLocks noChangeAspect="1"/>
        </xdr:cNvPicPr>
      </xdr:nvPicPr>
      <xdr:blipFill>
        <a:blip xmlns:r="http://schemas.openxmlformats.org/officeDocument/2006/relationships" r:embed="rId2"/>
        <a:stretch>
          <a:fillRect/>
        </a:stretch>
      </xdr:blipFill>
      <xdr:spPr>
        <a:xfrm>
          <a:off x="12915900" y="762000"/>
          <a:ext cx="9552381" cy="4847619"/>
        </a:xfrm>
        <a:prstGeom prst="rect">
          <a:avLst/>
        </a:prstGeom>
      </xdr:spPr>
    </xdr:pic>
    <xdr:clientData/>
  </xdr:twoCellAnchor>
  <xdr:twoCellAnchor editAs="oneCell">
    <xdr:from>
      <xdr:col>38</xdr:col>
      <xdr:colOff>0</xdr:colOff>
      <xdr:row>4</xdr:row>
      <xdr:rowOff>0</xdr:rowOff>
    </xdr:from>
    <xdr:to>
      <xdr:col>54</xdr:col>
      <xdr:colOff>122590</xdr:colOff>
      <xdr:row>32</xdr:row>
      <xdr:rowOff>56609</xdr:rowOff>
    </xdr:to>
    <xdr:pic>
      <xdr:nvPicPr>
        <xdr:cNvPr id="4" name="Picture 3">
          <a:extLst>
            <a:ext uri="{FF2B5EF4-FFF2-40B4-BE49-F238E27FC236}">
              <a16:creationId xmlns:a16="http://schemas.microsoft.com/office/drawing/2014/main" id="{1618C7A7-8DBB-4935-9507-D21115C7804C}"/>
            </a:ext>
          </a:extLst>
        </xdr:cNvPr>
        <xdr:cNvPicPr>
          <a:picLocks noChangeAspect="1"/>
        </xdr:cNvPicPr>
      </xdr:nvPicPr>
      <xdr:blipFill>
        <a:blip xmlns:r="http://schemas.openxmlformats.org/officeDocument/2006/relationships" r:embed="rId3"/>
        <a:stretch>
          <a:fillRect/>
        </a:stretch>
      </xdr:blipFill>
      <xdr:spPr>
        <a:xfrm>
          <a:off x="22669500" y="609600"/>
          <a:ext cx="9876190" cy="432380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379962</xdr:colOff>
      <xdr:row>19</xdr:row>
      <xdr:rowOff>56781</xdr:rowOff>
    </xdr:to>
    <xdr:pic>
      <xdr:nvPicPr>
        <xdr:cNvPr id="2" name="Picture 1">
          <a:extLst>
            <a:ext uri="{FF2B5EF4-FFF2-40B4-BE49-F238E27FC236}">
              <a16:creationId xmlns:a16="http://schemas.microsoft.com/office/drawing/2014/main" id="{A52C625F-BC97-4A80-B1A5-22686BAC68C8}"/>
            </a:ext>
          </a:extLst>
        </xdr:cNvPr>
        <xdr:cNvPicPr>
          <a:picLocks noChangeAspect="1"/>
        </xdr:cNvPicPr>
      </xdr:nvPicPr>
      <xdr:blipFill>
        <a:blip xmlns:r="http://schemas.openxmlformats.org/officeDocument/2006/relationships" r:embed="rId1"/>
        <a:stretch>
          <a:fillRect/>
        </a:stretch>
      </xdr:blipFill>
      <xdr:spPr>
        <a:xfrm>
          <a:off x="0" y="0"/>
          <a:ext cx="8304762" cy="2952381"/>
        </a:xfrm>
        <a:prstGeom prst="rect">
          <a:avLst/>
        </a:prstGeom>
      </xdr:spPr>
    </xdr:pic>
    <xdr:clientData/>
  </xdr:twoCellAnchor>
  <xdr:twoCellAnchor editAs="oneCell">
    <xdr:from>
      <xdr:col>14</xdr:col>
      <xdr:colOff>0</xdr:colOff>
      <xdr:row>0</xdr:row>
      <xdr:rowOff>0</xdr:rowOff>
    </xdr:from>
    <xdr:to>
      <xdr:col>21</xdr:col>
      <xdr:colOff>104229</xdr:colOff>
      <xdr:row>9</xdr:row>
      <xdr:rowOff>66495</xdr:rowOff>
    </xdr:to>
    <xdr:pic>
      <xdr:nvPicPr>
        <xdr:cNvPr id="3" name="Picture 2">
          <a:extLst>
            <a:ext uri="{FF2B5EF4-FFF2-40B4-BE49-F238E27FC236}">
              <a16:creationId xmlns:a16="http://schemas.microsoft.com/office/drawing/2014/main" id="{85252D12-490B-4A70-9582-986EC07CA225}"/>
            </a:ext>
          </a:extLst>
        </xdr:cNvPr>
        <xdr:cNvPicPr>
          <a:picLocks noChangeAspect="1"/>
        </xdr:cNvPicPr>
      </xdr:nvPicPr>
      <xdr:blipFill>
        <a:blip xmlns:r="http://schemas.openxmlformats.org/officeDocument/2006/relationships" r:embed="rId2"/>
        <a:stretch>
          <a:fillRect/>
        </a:stretch>
      </xdr:blipFill>
      <xdr:spPr>
        <a:xfrm>
          <a:off x="8534400" y="0"/>
          <a:ext cx="4371429" cy="1438095"/>
        </a:xfrm>
        <a:prstGeom prst="rect">
          <a:avLst/>
        </a:prstGeom>
      </xdr:spPr>
    </xdr:pic>
    <xdr:clientData/>
  </xdr:twoCellAnchor>
  <xdr:twoCellAnchor editAs="oneCell">
    <xdr:from>
      <xdr:col>22</xdr:col>
      <xdr:colOff>0</xdr:colOff>
      <xdr:row>0</xdr:row>
      <xdr:rowOff>0</xdr:rowOff>
    </xdr:from>
    <xdr:to>
      <xdr:col>35</xdr:col>
      <xdr:colOff>56152</xdr:colOff>
      <xdr:row>19</xdr:row>
      <xdr:rowOff>152019</xdr:rowOff>
    </xdr:to>
    <xdr:pic>
      <xdr:nvPicPr>
        <xdr:cNvPr id="5" name="Picture 4">
          <a:extLst>
            <a:ext uri="{FF2B5EF4-FFF2-40B4-BE49-F238E27FC236}">
              <a16:creationId xmlns:a16="http://schemas.microsoft.com/office/drawing/2014/main" id="{9C395BCB-1A69-4FA6-9F78-BC0CBA4972CF}"/>
            </a:ext>
          </a:extLst>
        </xdr:cNvPr>
        <xdr:cNvPicPr>
          <a:picLocks noChangeAspect="1"/>
        </xdr:cNvPicPr>
      </xdr:nvPicPr>
      <xdr:blipFill>
        <a:blip xmlns:r="http://schemas.openxmlformats.org/officeDocument/2006/relationships" r:embed="rId3"/>
        <a:stretch>
          <a:fillRect/>
        </a:stretch>
      </xdr:blipFill>
      <xdr:spPr>
        <a:xfrm>
          <a:off x="13411200" y="0"/>
          <a:ext cx="7980952" cy="304761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199009</xdr:colOff>
      <xdr:row>18</xdr:row>
      <xdr:rowOff>9181</xdr:rowOff>
    </xdr:to>
    <xdr:pic>
      <xdr:nvPicPr>
        <xdr:cNvPr id="2" name="Picture 1">
          <a:extLst>
            <a:ext uri="{FF2B5EF4-FFF2-40B4-BE49-F238E27FC236}">
              <a16:creationId xmlns:a16="http://schemas.microsoft.com/office/drawing/2014/main" id="{8C596A99-F984-4573-B871-8FD005D5CD00}"/>
            </a:ext>
          </a:extLst>
        </xdr:cNvPr>
        <xdr:cNvPicPr>
          <a:picLocks noChangeAspect="1"/>
        </xdr:cNvPicPr>
      </xdr:nvPicPr>
      <xdr:blipFill>
        <a:blip xmlns:r="http://schemas.openxmlformats.org/officeDocument/2006/relationships" r:embed="rId1"/>
        <a:stretch>
          <a:fillRect/>
        </a:stretch>
      </xdr:blipFill>
      <xdr:spPr>
        <a:xfrm>
          <a:off x="0" y="0"/>
          <a:ext cx="8123809" cy="2752381"/>
        </a:xfrm>
        <a:prstGeom prst="rect">
          <a:avLst/>
        </a:prstGeom>
      </xdr:spPr>
    </xdr:pic>
    <xdr:clientData/>
  </xdr:twoCellAnchor>
  <xdr:twoCellAnchor editAs="oneCell">
    <xdr:from>
      <xdr:col>14</xdr:col>
      <xdr:colOff>0</xdr:colOff>
      <xdr:row>0</xdr:row>
      <xdr:rowOff>0</xdr:rowOff>
    </xdr:from>
    <xdr:to>
      <xdr:col>26</xdr:col>
      <xdr:colOff>360990</xdr:colOff>
      <xdr:row>16</xdr:row>
      <xdr:rowOff>133029</xdr:rowOff>
    </xdr:to>
    <xdr:pic>
      <xdr:nvPicPr>
        <xdr:cNvPr id="3" name="Picture 2">
          <a:extLst>
            <a:ext uri="{FF2B5EF4-FFF2-40B4-BE49-F238E27FC236}">
              <a16:creationId xmlns:a16="http://schemas.microsoft.com/office/drawing/2014/main" id="{1FA427A1-4B6C-4393-8F34-111806A25A9A}"/>
            </a:ext>
          </a:extLst>
        </xdr:cNvPr>
        <xdr:cNvPicPr>
          <a:picLocks noChangeAspect="1"/>
        </xdr:cNvPicPr>
      </xdr:nvPicPr>
      <xdr:blipFill>
        <a:blip xmlns:r="http://schemas.openxmlformats.org/officeDocument/2006/relationships" r:embed="rId2"/>
        <a:stretch>
          <a:fillRect/>
        </a:stretch>
      </xdr:blipFill>
      <xdr:spPr>
        <a:xfrm>
          <a:off x="8534400" y="0"/>
          <a:ext cx="7676190" cy="2571429"/>
        </a:xfrm>
        <a:prstGeom prst="rect">
          <a:avLst/>
        </a:prstGeom>
      </xdr:spPr>
    </xdr:pic>
    <xdr:clientData/>
  </xdr:twoCellAnchor>
  <xdr:twoCellAnchor editAs="oneCell">
    <xdr:from>
      <xdr:col>0</xdr:col>
      <xdr:colOff>0</xdr:colOff>
      <xdr:row>20</xdr:row>
      <xdr:rowOff>0</xdr:rowOff>
    </xdr:from>
    <xdr:to>
      <xdr:col>11</xdr:col>
      <xdr:colOff>551543</xdr:colOff>
      <xdr:row>29</xdr:row>
      <xdr:rowOff>37924</xdr:rowOff>
    </xdr:to>
    <xdr:pic>
      <xdr:nvPicPr>
        <xdr:cNvPr id="4" name="Picture 3">
          <a:extLst>
            <a:ext uri="{FF2B5EF4-FFF2-40B4-BE49-F238E27FC236}">
              <a16:creationId xmlns:a16="http://schemas.microsoft.com/office/drawing/2014/main" id="{1EE52C2F-FE92-4E6F-9D7F-37403F2EDFE5}"/>
            </a:ext>
          </a:extLst>
        </xdr:cNvPr>
        <xdr:cNvPicPr>
          <a:picLocks noChangeAspect="1"/>
        </xdr:cNvPicPr>
      </xdr:nvPicPr>
      <xdr:blipFill>
        <a:blip xmlns:r="http://schemas.openxmlformats.org/officeDocument/2006/relationships" r:embed="rId3"/>
        <a:stretch>
          <a:fillRect/>
        </a:stretch>
      </xdr:blipFill>
      <xdr:spPr>
        <a:xfrm>
          <a:off x="0" y="3048000"/>
          <a:ext cx="7257143" cy="1409524"/>
        </a:xfrm>
        <a:prstGeom prst="rect">
          <a:avLst/>
        </a:prstGeom>
      </xdr:spPr>
    </xdr:pic>
    <xdr:clientData/>
  </xdr:twoCellAnchor>
  <xdr:twoCellAnchor editAs="oneCell">
    <xdr:from>
      <xdr:col>14</xdr:col>
      <xdr:colOff>0</xdr:colOff>
      <xdr:row>19</xdr:row>
      <xdr:rowOff>0</xdr:rowOff>
    </xdr:from>
    <xdr:to>
      <xdr:col>28</xdr:col>
      <xdr:colOff>103695</xdr:colOff>
      <xdr:row>32</xdr:row>
      <xdr:rowOff>37848</xdr:rowOff>
    </xdr:to>
    <xdr:pic>
      <xdr:nvPicPr>
        <xdr:cNvPr id="5" name="Picture 4">
          <a:extLst>
            <a:ext uri="{FF2B5EF4-FFF2-40B4-BE49-F238E27FC236}">
              <a16:creationId xmlns:a16="http://schemas.microsoft.com/office/drawing/2014/main" id="{EE2CEE0C-FBE7-4F75-8992-469AEC95B4F1}"/>
            </a:ext>
          </a:extLst>
        </xdr:cNvPr>
        <xdr:cNvPicPr>
          <a:picLocks noChangeAspect="1"/>
        </xdr:cNvPicPr>
      </xdr:nvPicPr>
      <xdr:blipFill>
        <a:blip xmlns:r="http://schemas.openxmlformats.org/officeDocument/2006/relationships" r:embed="rId4"/>
        <a:stretch>
          <a:fillRect/>
        </a:stretch>
      </xdr:blipFill>
      <xdr:spPr>
        <a:xfrm>
          <a:off x="8534400" y="2895600"/>
          <a:ext cx="8638095" cy="20190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256152</xdr:colOff>
      <xdr:row>5</xdr:row>
      <xdr:rowOff>18952</xdr:rowOff>
    </xdr:to>
    <xdr:pic>
      <xdr:nvPicPr>
        <xdr:cNvPr id="2" name="Picture 1">
          <a:extLst>
            <a:ext uri="{FF2B5EF4-FFF2-40B4-BE49-F238E27FC236}">
              <a16:creationId xmlns:a16="http://schemas.microsoft.com/office/drawing/2014/main" id="{82B0B099-F5FF-4F4D-8146-3FC363C2F068}"/>
            </a:ext>
          </a:extLst>
        </xdr:cNvPr>
        <xdr:cNvPicPr>
          <a:picLocks noChangeAspect="1"/>
        </xdr:cNvPicPr>
      </xdr:nvPicPr>
      <xdr:blipFill>
        <a:blip xmlns:r="http://schemas.openxmlformats.org/officeDocument/2006/relationships" r:embed="rId1"/>
        <a:stretch>
          <a:fillRect/>
        </a:stretch>
      </xdr:blipFill>
      <xdr:spPr>
        <a:xfrm>
          <a:off x="0" y="0"/>
          <a:ext cx="8180952" cy="780952"/>
        </a:xfrm>
        <a:prstGeom prst="rect">
          <a:avLst/>
        </a:prstGeom>
      </xdr:spPr>
    </xdr:pic>
    <xdr:clientData/>
  </xdr:twoCellAnchor>
  <xdr:twoCellAnchor editAs="oneCell">
    <xdr:from>
      <xdr:col>14</xdr:col>
      <xdr:colOff>0</xdr:colOff>
      <xdr:row>0</xdr:row>
      <xdr:rowOff>0</xdr:rowOff>
    </xdr:from>
    <xdr:to>
      <xdr:col>26</xdr:col>
      <xdr:colOff>275276</xdr:colOff>
      <xdr:row>14</xdr:row>
      <xdr:rowOff>133067</xdr:rowOff>
    </xdr:to>
    <xdr:pic>
      <xdr:nvPicPr>
        <xdr:cNvPr id="3" name="Picture 2">
          <a:extLst>
            <a:ext uri="{FF2B5EF4-FFF2-40B4-BE49-F238E27FC236}">
              <a16:creationId xmlns:a16="http://schemas.microsoft.com/office/drawing/2014/main" id="{D539407C-189E-4FC8-93A1-99581BA8984F}"/>
            </a:ext>
          </a:extLst>
        </xdr:cNvPr>
        <xdr:cNvPicPr>
          <a:picLocks noChangeAspect="1"/>
        </xdr:cNvPicPr>
      </xdr:nvPicPr>
      <xdr:blipFill>
        <a:blip xmlns:r="http://schemas.openxmlformats.org/officeDocument/2006/relationships" r:embed="rId2"/>
        <a:stretch>
          <a:fillRect/>
        </a:stretch>
      </xdr:blipFill>
      <xdr:spPr>
        <a:xfrm>
          <a:off x="8534400" y="0"/>
          <a:ext cx="7590476" cy="2266667"/>
        </a:xfrm>
        <a:prstGeom prst="rect">
          <a:avLst/>
        </a:prstGeom>
      </xdr:spPr>
    </xdr:pic>
    <xdr:clientData/>
  </xdr:twoCellAnchor>
  <xdr:twoCellAnchor editAs="oneCell">
    <xdr:from>
      <xdr:col>14</xdr:col>
      <xdr:colOff>0</xdr:colOff>
      <xdr:row>16</xdr:row>
      <xdr:rowOff>0</xdr:rowOff>
    </xdr:from>
    <xdr:to>
      <xdr:col>27</xdr:col>
      <xdr:colOff>265676</xdr:colOff>
      <xdr:row>26</xdr:row>
      <xdr:rowOff>142667</xdr:rowOff>
    </xdr:to>
    <xdr:pic>
      <xdr:nvPicPr>
        <xdr:cNvPr id="4" name="Picture 3">
          <a:extLst>
            <a:ext uri="{FF2B5EF4-FFF2-40B4-BE49-F238E27FC236}">
              <a16:creationId xmlns:a16="http://schemas.microsoft.com/office/drawing/2014/main" id="{6FD4F5C3-A10C-4543-8D69-BA9A1DE5DAE6}"/>
            </a:ext>
          </a:extLst>
        </xdr:cNvPr>
        <xdr:cNvPicPr>
          <a:picLocks noChangeAspect="1"/>
        </xdr:cNvPicPr>
      </xdr:nvPicPr>
      <xdr:blipFill>
        <a:blip xmlns:r="http://schemas.openxmlformats.org/officeDocument/2006/relationships" r:embed="rId3"/>
        <a:stretch>
          <a:fillRect/>
        </a:stretch>
      </xdr:blipFill>
      <xdr:spPr>
        <a:xfrm>
          <a:off x="8534400" y="2438400"/>
          <a:ext cx="8190476" cy="1666667"/>
        </a:xfrm>
        <a:prstGeom prst="rect">
          <a:avLst/>
        </a:prstGeom>
      </xdr:spPr>
    </xdr:pic>
    <xdr:clientData/>
  </xdr:twoCellAnchor>
  <xdr:twoCellAnchor editAs="oneCell">
    <xdr:from>
      <xdr:col>14</xdr:col>
      <xdr:colOff>0</xdr:colOff>
      <xdr:row>28</xdr:row>
      <xdr:rowOff>0</xdr:rowOff>
    </xdr:from>
    <xdr:to>
      <xdr:col>26</xdr:col>
      <xdr:colOff>18133</xdr:colOff>
      <xdr:row>46</xdr:row>
      <xdr:rowOff>94895</xdr:rowOff>
    </xdr:to>
    <xdr:pic>
      <xdr:nvPicPr>
        <xdr:cNvPr id="5" name="Picture 4">
          <a:extLst>
            <a:ext uri="{FF2B5EF4-FFF2-40B4-BE49-F238E27FC236}">
              <a16:creationId xmlns:a16="http://schemas.microsoft.com/office/drawing/2014/main" id="{2BFB4C0E-B9DA-44BD-9D56-1F9EA6A47B6A}"/>
            </a:ext>
          </a:extLst>
        </xdr:cNvPr>
        <xdr:cNvPicPr>
          <a:picLocks noChangeAspect="1"/>
        </xdr:cNvPicPr>
      </xdr:nvPicPr>
      <xdr:blipFill>
        <a:blip xmlns:r="http://schemas.openxmlformats.org/officeDocument/2006/relationships" r:embed="rId4"/>
        <a:stretch>
          <a:fillRect/>
        </a:stretch>
      </xdr:blipFill>
      <xdr:spPr>
        <a:xfrm>
          <a:off x="8534400" y="4267200"/>
          <a:ext cx="7333333" cy="2838095"/>
        </a:xfrm>
        <a:prstGeom prst="rect">
          <a:avLst/>
        </a:prstGeom>
      </xdr:spPr>
    </xdr:pic>
    <xdr:clientData/>
  </xdr:twoCellAnchor>
  <xdr:twoCellAnchor editAs="oneCell">
    <xdr:from>
      <xdr:col>0</xdr:col>
      <xdr:colOff>0</xdr:colOff>
      <xdr:row>28</xdr:row>
      <xdr:rowOff>0</xdr:rowOff>
    </xdr:from>
    <xdr:to>
      <xdr:col>13</xdr:col>
      <xdr:colOff>113295</xdr:colOff>
      <xdr:row>31</xdr:row>
      <xdr:rowOff>133276</xdr:rowOff>
    </xdr:to>
    <xdr:pic>
      <xdr:nvPicPr>
        <xdr:cNvPr id="6" name="Picture 5">
          <a:extLst>
            <a:ext uri="{FF2B5EF4-FFF2-40B4-BE49-F238E27FC236}">
              <a16:creationId xmlns:a16="http://schemas.microsoft.com/office/drawing/2014/main" id="{6FCA989D-49CC-4607-AD9E-A52A7224720D}"/>
            </a:ext>
          </a:extLst>
        </xdr:cNvPr>
        <xdr:cNvPicPr>
          <a:picLocks noChangeAspect="1"/>
        </xdr:cNvPicPr>
      </xdr:nvPicPr>
      <xdr:blipFill>
        <a:blip xmlns:r="http://schemas.openxmlformats.org/officeDocument/2006/relationships" r:embed="rId5"/>
        <a:stretch>
          <a:fillRect/>
        </a:stretch>
      </xdr:blipFill>
      <xdr:spPr>
        <a:xfrm>
          <a:off x="0" y="4267200"/>
          <a:ext cx="8038095" cy="5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332800</xdr:colOff>
      <xdr:row>9</xdr:row>
      <xdr:rowOff>152210</xdr:rowOff>
    </xdr:to>
    <xdr:pic>
      <xdr:nvPicPr>
        <xdr:cNvPr id="2" name="Picture 1">
          <a:extLst>
            <a:ext uri="{FF2B5EF4-FFF2-40B4-BE49-F238E27FC236}">
              <a16:creationId xmlns:a16="http://schemas.microsoft.com/office/drawing/2014/main" id="{8157BE38-6EBF-4324-8043-1A933AF98AD3}"/>
            </a:ext>
          </a:extLst>
        </xdr:cNvPr>
        <xdr:cNvPicPr>
          <a:picLocks noChangeAspect="1"/>
        </xdr:cNvPicPr>
      </xdr:nvPicPr>
      <xdr:blipFill>
        <a:blip xmlns:r="http://schemas.openxmlformats.org/officeDocument/2006/relationships" r:embed="rId1"/>
        <a:stretch>
          <a:fillRect/>
        </a:stretch>
      </xdr:blipFill>
      <xdr:spPr>
        <a:xfrm>
          <a:off x="0" y="0"/>
          <a:ext cx="4600000" cy="1523810"/>
        </a:xfrm>
        <a:prstGeom prst="rect">
          <a:avLst/>
        </a:prstGeom>
      </xdr:spPr>
    </xdr:pic>
    <xdr:clientData/>
  </xdr:twoCellAnchor>
  <xdr:twoCellAnchor editAs="oneCell">
    <xdr:from>
      <xdr:col>9</xdr:col>
      <xdr:colOff>0</xdr:colOff>
      <xdr:row>0</xdr:row>
      <xdr:rowOff>0</xdr:rowOff>
    </xdr:from>
    <xdr:to>
      <xdr:col>22</xdr:col>
      <xdr:colOff>313295</xdr:colOff>
      <xdr:row>4</xdr:row>
      <xdr:rowOff>104686</xdr:rowOff>
    </xdr:to>
    <xdr:pic>
      <xdr:nvPicPr>
        <xdr:cNvPr id="3" name="Picture 2">
          <a:extLst>
            <a:ext uri="{FF2B5EF4-FFF2-40B4-BE49-F238E27FC236}">
              <a16:creationId xmlns:a16="http://schemas.microsoft.com/office/drawing/2014/main" id="{AF28D3A9-6D4B-4643-A317-04CEA46A2B8C}"/>
            </a:ext>
          </a:extLst>
        </xdr:cNvPr>
        <xdr:cNvPicPr>
          <a:picLocks noChangeAspect="1"/>
        </xdr:cNvPicPr>
      </xdr:nvPicPr>
      <xdr:blipFill>
        <a:blip xmlns:r="http://schemas.openxmlformats.org/officeDocument/2006/relationships" r:embed="rId2"/>
        <a:stretch>
          <a:fillRect/>
        </a:stretch>
      </xdr:blipFill>
      <xdr:spPr>
        <a:xfrm>
          <a:off x="5486400" y="0"/>
          <a:ext cx="8238095" cy="714286"/>
        </a:xfrm>
        <a:prstGeom prst="rect">
          <a:avLst/>
        </a:prstGeom>
      </xdr:spPr>
    </xdr:pic>
    <xdr:clientData/>
  </xdr:twoCellAnchor>
  <xdr:twoCellAnchor editAs="oneCell">
    <xdr:from>
      <xdr:col>9</xdr:col>
      <xdr:colOff>0</xdr:colOff>
      <xdr:row>6</xdr:row>
      <xdr:rowOff>114495</xdr:rowOff>
    </xdr:from>
    <xdr:to>
      <xdr:col>23</xdr:col>
      <xdr:colOff>113219</xdr:colOff>
      <xdr:row>17</xdr:row>
      <xdr:rowOff>0</xdr:rowOff>
    </xdr:to>
    <xdr:pic>
      <xdr:nvPicPr>
        <xdr:cNvPr id="5" name="Picture 4">
          <a:extLst>
            <a:ext uri="{FF2B5EF4-FFF2-40B4-BE49-F238E27FC236}">
              <a16:creationId xmlns:a16="http://schemas.microsoft.com/office/drawing/2014/main" id="{7314DDE1-35AE-4730-B4D9-28CB4B78E532}"/>
            </a:ext>
          </a:extLst>
        </xdr:cNvPr>
        <xdr:cNvPicPr>
          <a:picLocks noChangeAspect="1"/>
        </xdr:cNvPicPr>
      </xdr:nvPicPr>
      <xdr:blipFill>
        <a:blip xmlns:r="http://schemas.openxmlformats.org/officeDocument/2006/relationships" r:embed="rId3"/>
        <a:stretch>
          <a:fillRect/>
        </a:stretch>
      </xdr:blipFill>
      <xdr:spPr>
        <a:xfrm>
          <a:off x="5486400" y="1028895"/>
          <a:ext cx="8647619" cy="1561905"/>
        </a:xfrm>
        <a:prstGeom prst="rect">
          <a:avLst/>
        </a:prstGeom>
      </xdr:spPr>
    </xdr:pic>
    <xdr:clientData/>
  </xdr:twoCellAnchor>
  <xdr:twoCellAnchor editAs="oneCell">
    <xdr:from>
      <xdr:col>0</xdr:col>
      <xdr:colOff>0</xdr:colOff>
      <xdr:row>12</xdr:row>
      <xdr:rowOff>0</xdr:rowOff>
    </xdr:from>
    <xdr:to>
      <xdr:col>7</xdr:col>
      <xdr:colOff>589943</xdr:colOff>
      <xdr:row>21</xdr:row>
      <xdr:rowOff>123638</xdr:rowOff>
    </xdr:to>
    <xdr:pic>
      <xdr:nvPicPr>
        <xdr:cNvPr id="6" name="Picture 5">
          <a:extLst>
            <a:ext uri="{FF2B5EF4-FFF2-40B4-BE49-F238E27FC236}">
              <a16:creationId xmlns:a16="http://schemas.microsoft.com/office/drawing/2014/main" id="{B223A8BA-E8B8-432D-B808-CBA5D2D0F26B}"/>
            </a:ext>
          </a:extLst>
        </xdr:cNvPr>
        <xdr:cNvPicPr>
          <a:picLocks noChangeAspect="1"/>
        </xdr:cNvPicPr>
      </xdr:nvPicPr>
      <xdr:blipFill>
        <a:blip xmlns:r="http://schemas.openxmlformats.org/officeDocument/2006/relationships" r:embed="rId4"/>
        <a:stretch>
          <a:fillRect/>
        </a:stretch>
      </xdr:blipFill>
      <xdr:spPr>
        <a:xfrm>
          <a:off x="0" y="1828800"/>
          <a:ext cx="4857143" cy="1495238"/>
        </a:xfrm>
        <a:prstGeom prst="rect">
          <a:avLst/>
        </a:prstGeom>
      </xdr:spPr>
    </xdr:pic>
    <xdr:clientData/>
  </xdr:twoCellAnchor>
  <xdr:twoCellAnchor editAs="oneCell">
    <xdr:from>
      <xdr:col>0</xdr:col>
      <xdr:colOff>0</xdr:colOff>
      <xdr:row>23</xdr:row>
      <xdr:rowOff>0</xdr:rowOff>
    </xdr:from>
    <xdr:to>
      <xdr:col>12</xdr:col>
      <xdr:colOff>56228</xdr:colOff>
      <xdr:row>36</xdr:row>
      <xdr:rowOff>114038</xdr:rowOff>
    </xdr:to>
    <xdr:pic>
      <xdr:nvPicPr>
        <xdr:cNvPr id="7" name="Picture 6">
          <a:extLst>
            <a:ext uri="{FF2B5EF4-FFF2-40B4-BE49-F238E27FC236}">
              <a16:creationId xmlns:a16="http://schemas.microsoft.com/office/drawing/2014/main" id="{AAD31496-CEFC-40DF-8251-3D8CF3E0C89E}"/>
            </a:ext>
          </a:extLst>
        </xdr:cNvPr>
        <xdr:cNvPicPr>
          <a:picLocks noChangeAspect="1"/>
        </xdr:cNvPicPr>
      </xdr:nvPicPr>
      <xdr:blipFill>
        <a:blip xmlns:r="http://schemas.openxmlformats.org/officeDocument/2006/relationships" r:embed="rId5"/>
        <a:stretch>
          <a:fillRect/>
        </a:stretch>
      </xdr:blipFill>
      <xdr:spPr>
        <a:xfrm>
          <a:off x="0" y="3505200"/>
          <a:ext cx="7371428" cy="209523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56076</xdr:colOff>
      <xdr:row>7</xdr:row>
      <xdr:rowOff>85581</xdr:rowOff>
    </xdr:to>
    <xdr:pic>
      <xdr:nvPicPr>
        <xdr:cNvPr id="3" name="Picture 2">
          <a:extLst>
            <a:ext uri="{FF2B5EF4-FFF2-40B4-BE49-F238E27FC236}">
              <a16:creationId xmlns:a16="http://schemas.microsoft.com/office/drawing/2014/main" id="{A1E7ABEC-6FE9-439A-BFBF-0EC528C897C8}"/>
            </a:ext>
          </a:extLst>
        </xdr:cNvPr>
        <xdr:cNvPicPr>
          <a:picLocks noChangeAspect="1"/>
        </xdr:cNvPicPr>
      </xdr:nvPicPr>
      <xdr:blipFill>
        <a:blip xmlns:r="http://schemas.openxmlformats.org/officeDocument/2006/relationships" r:embed="rId1"/>
        <a:stretch>
          <a:fillRect/>
        </a:stretch>
      </xdr:blipFill>
      <xdr:spPr>
        <a:xfrm>
          <a:off x="0" y="0"/>
          <a:ext cx="8590476" cy="1152381"/>
        </a:xfrm>
        <a:prstGeom prst="rect">
          <a:avLst/>
        </a:prstGeom>
      </xdr:spPr>
    </xdr:pic>
    <xdr:clientData/>
  </xdr:twoCellAnchor>
  <xdr:twoCellAnchor editAs="oneCell">
    <xdr:from>
      <xdr:col>0</xdr:col>
      <xdr:colOff>0</xdr:colOff>
      <xdr:row>9</xdr:row>
      <xdr:rowOff>0</xdr:rowOff>
    </xdr:from>
    <xdr:to>
      <xdr:col>12</xdr:col>
      <xdr:colOff>551467</xdr:colOff>
      <xdr:row>19</xdr:row>
      <xdr:rowOff>76000</xdr:rowOff>
    </xdr:to>
    <xdr:pic>
      <xdr:nvPicPr>
        <xdr:cNvPr id="4" name="Picture 3">
          <a:extLst>
            <a:ext uri="{FF2B5EF4-FFF2-40B4-BE49-F238E27FC236}">
              <a16:creationId xmlns:a16="http://schemas.microsoft.com/office/drawing/2014/main" id="{E5D073B9-1886-48FC-BB3B-70AA6EF353EA}"/>
            </a:ext>
          </a:extLst>
        </xdr:cNvPr>
        <xdr:cNvPicPr>
          <a:picLocks noChangeAspect="1"/>
        </xdr:cNvPicPr>
      </xdr:nvPicPr>
      <xdr:blipFill>
        <a:blip xmlns:r="http://schemas.openxmlformats.org/officeDocument/2006/relationships" r:embed="rId2"/>
        <a:stretch>
          <a:fillRect/>
        </a:stretch>
      </xdr:blipFill>
      <xdr:spPr>
        <a:xfrm>
          <a:off x="0" y="1371600"/>
          <a:ext cx="7866667" cy="1600000"/>
        </a:xfrm>
        <a:prstGeom prst="rect">
          <a:avLst/>
        </a:prstGeom>
      </xdr:spPr>
    </xdr:pic>
    <xdr:clientData/>
  </xdr:twoCellAnchor>
  <xdr:twoCellAnchor editAs="oneCell">
    <xdr:from>
      <xdr:col>0</xdr:col>
      <xdr:colOff>0</xdr:colOff>
      <xdr:row>20</xdr:row>
      <xdr:rowOff>0</xdr:rowOff>
    </xdr:from>
    <xdr:to>
      <xdr:col>7</xdr:col>
      <xdr:colOff>218514</xdr:colOff>
      <xdr:row>31</xdr:row>
      <xdr:rowOff>9314</xdr:rowOff>
    </xdr:to>
    <xdr:pic>
      <xdr:nvPicPr>
        <xdr:cNvPr id="5" name="Picture 4">
          <a:extLst>
            <a:ext uri="{FF2B5EF4-FFF2-40B4-BE49-F238E27FC236}">
              <a16:creationId xmlns:a16="http://schemas.microsoft.com/office/drawing/2014/main" id="{2A50712D-533F-424E-A1E5-C7CA989061E6}"/>
            </a:ext>
          </a:extLst>
        </xdr:cNvPr>
        <xdr:cNvPicPr>
          <a:picLocks noChangeAspect="1"/>
        </xdr:cNvPicPr>
      </xdr:nvPicPr>
      <xdr:blipFill>
        <a:blip xmlns:r="http://schemas.openxmlformats.org/officeDocument/2006/relationships" r:embed="rId3"/>
        <a:stretch>
          <a:fillRect/>
        </a:stretch>
      </xdr:blipFill>
      <xdr:spPr>
        <a:xfrm>
          <a:off x="0" y="3048000"/>
          <a:ext cx="4485714" cy="1685714"/>
        </a:xfrm>
        <a:prstGeom prst="rect">
          <a:avLst/>
        </a:prstGeom>
      </xdr:spPr>
    </xdr:pic>
    <xdr:clientData/>
  </xdr:twoCellAnchor>
  <xdr:twoCellAnchor editAs="oneCell">
    <xdr:from>
      <xdr:col>15</xdr:col>
      <xdr:colOff>0</xdr:colOff>
      <xdr:row>0</xdr:row>
      <xdr:rowOff>0</xdr:rowOff>
    </xdr:from>
    <xdr:to>
      <xdr:col>29</xdr:col>
      <xdr:colOff>27505</xdr:colOff>
      <xdr:row>10</xdr:row>
      <xdr:rowOff>56952</xdr:rowOff>
    </xdr:to>
    <xdr:pic>
      <xdr:nvPicPr>
        <xdr:cNvPr id="7" name="Picture 6">
          <a:extLst>
            <a:ext uri="{FF2B5EF4-FFF2-40B4-BE49-F238E27FC236}">
              <a16:creationId xmlns:a16="http://schemas.microsoft.com/office/drawing/2014/main" id="{EEB84968-60C5-4F11-A1AB-F39EFC0574B9}"/>
            </a:ext>
          </a:extLst>
        </xdr:cNvPr>
        <xdr:cNvPicPr>
          <a:picLocks noChangeAspect="1"/>
        </xdr:cNvPicPr>
      </xdr:nvPicPr>
      <xdr:blipFill>
        <a:blip xmlns:r="http://schemas.openxmlformats.org/officeDocument/2006/relationships" r:embed="rId4"/>
        <a:stretch>
          <a:fillRect/>
        </a:stretch>
      </xdr:blipFill>
      <xdr:spPr>
        <a:xfrm>
          <a:off x="9144000" y="0"/>
          <a:ext cx="8561905" cy="1580952"/>
        </a:xfrm>
        <a:prstGeom prst="rect">
          <a:avLst/>
        </a:prstGeom>
      </xdr:spPr>
    </xdr:pic>
    <xdr:clientData/>
  </xdr:twoCellAnchor>
  <xdr:twoCellAnchor editAs="oneCell">
    <xdr:from>
      <xdr:col>15</xdr:col>
      <xdr:colOff>0</xdr:colOff>
      <xdr:row>13</xdr:row>
      <xdr:rowOff>0</xdr:rowOff>
    </xdr:from>
    <xdr:to>
      <xdr:col>29</xdr:col>
      <xdr:colOff>275124</xdr:colOff>
      <xdr:row>30</xdr:row>
      <xdr:rowOff>66343</xdr:rowOff>
    </xdr:to>
    <xdr:pic>
      <xdr:nvPicPr>
        <xdr:cNvPr id="9" name="Picture 8">
          <a:extLst>
            <a:ext uri="{FF2B5EF4-FFF2-40B4-BE49-F238E27FC236}">
              <a16:creationId xmlns:a16="http://schemas.microsoft.com/office/drawing/2014/main" id="{58832081-ADFF-4A8E-80F4-B44F44282F79}"/>
            </a:ext>
          </a:extLst>
        </xdr:cNvPr>
        <xdr:cNvPicPr>
          <a:picLocks noChangeAspect="1"/>
        </xdr:cNvPicPr>
      </xdr:nvPicPr>
      <xdr:blipFill>
        <a:blip xmlns:r="http://schemas.openxmlformats.org/officeDocument/2006/relationships" r:embed="rId5"/>
        <a:stretch>
          <a:fillRect/>
        </a:stretch>
      </xdr:blipFill>
      <xdr:spPr>
        <a:xfrm>
          <a:off x="9144000" y="1981200"/>
          <a:ext cx="8809524" cy="2657143"/>
        </a:xfrm>
        <a:prstGeom prst="rect">
          <a:avLst/>
        </a:prstGeom>
      </xdr:spPr>
    </xdr:pic>
    <xdr:clientData/>
  </xdr:twoCellAnchor>
  <xdr:twoCellAnchor editAs="oneCell">
    <xdr:from>
      <xdr:col>0</xdr:col>
      <xdr:colOff>0</xdr:colOff>
      <xdr:row>34</xdr:row>
      <xdr:rowOff>0</xdr:rowOff>
    </xdr:from>
    <xdr:to>
      <xdr:col>14</xdr:col>
      <xdr:colOff>246552</xdr:colOff>
      <xdr:row>45</xdr:row>
      <xdr:rowOff>142648</xdr:rowOff>
    </xdr:to>
    <xdr:pic>
      <xdr:nvPicPr>
        <xdr:cNvPr id="10" name="Picture 9">
          <a:extLst>
            <a:ext uri="{FF2B5EF4-FFF2-40B4-BE49-F238E27FC236}">
              <a16:creationId xmlns:a16="http://schemas.microsoft.com/office/drawing/2014/main" id="{A59F9FF5-AF52-4336-8E1E-7B3FFE4B5F96}"/>
            </a:ext>
          </a:extLst>
        </xdr:cNvPr>
        <xdr:cNvPicPr>
          <a:picLocks noChangeAspect="1"/>
        </xdr:cNvPicPr>
      </xdr:nvPicPr>
      <xdr:blipFill>
        <a:blip xmlns:r="http://schemas.openxmlformats.org/officeDocument/2006/relationships" r:embed="rId6"/>
        <a:stretch>
          <a:fillRect/>
        </a:stretch>
      </xdr:blipFill>
      <xdr:spPr>
        <a:xfrm>
          <a:off x="0" y="5181600"/>
          <a:ext cx="8780952" cy="181904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437333</xdr:colOff>
      <xdr:row>17</xdr:row>
      <xdr:rowOff>75867</xdr:rowOff>
    </xdr:to>
    <xdr:pic>
      <xdr:nvPicPr>
        <xdr:cNvPr id="2" name="Picture 1">
          <a:extLst>
            <a:ext uri="{FF2B5EF4-FFF2-40B4-BE49-F238E27FC236}">
              <a16:creationId xmlns:a16="http://schemas.microsoft.com/office/drawing/2014/main" id="{EEC4886B-D630-4D3D-B6D8-69D9D73409FE}"/>
            </a:ext>
          </a:extLst>
        </xdr:cNvPr>
        <xdr:cNvPicPr>
          <a:picLocks noChangeAspect="1"/>
        </xdr:cNvPicPr>
      </xdr:nvPicPr>
      <xdr:blipFill>
        <a:blip xmlns:r="http://schemas.openxmlformats.org/officeDocument/2006/relationships" r:embed="rId1"/>
        <a:stretch>
          <a:fillRect/>
        </a:stretch>
      </xdr:blipFill>
      <xdr:spPr>
        <a:xfrm>
          <a:off x="0" y="0"/>
          <a:ext cx="6533333" cy="2666667"/>
        </a:xfrm>
        <a:prstGeom prst="rect">
          <a:avLst/>
        </a:prstGeom>
      </xdr:spPr>
    </xdr:pic>
    <xdr:clientData/>
  </xdr:twoCellAnchor>
  <xdr:twoCellAnchor editAs="oneCell">
    <xdr:from>
      <xdr:col>0</xdr:col>
      <xdr:colOff>0</xdr:colOff>
      <xdr:row>18</xdr:row>
      <xdr:rowOff>0</xdr:rowOff>
    </xdr:from>
    <xdr:to>
      <xdr:col>15</xdr:col>
      <xdr:colOff>284571</xdr:colOff>
      <xdr:row>34</xdr:row>
      <xdr:rowOff>75886</xdr:rowOff>
    </xdr:to>
    <xdr:pic>
      <xdr:nvPicPr>
        <xdr:cNvPr id="3" name="Picture 2">
          <a:extLst>
            <a:ext uri="{FF2B5EF4-FFF2-40B4-BE49-F238E27FC236}">
              <a16:creationId xmlns:a16="http://schemas.microsoft.com/office/drawing/2014/main" id="{320F3D98-D549-4440-BA7C-9272F72B816D}"/>
            </a:ext>
          </a:extLst>
        </xdr:cNvPr>
        <xdr:cNvPicPr>
          <a:picLocks noChangeAspect="1"/>
        </xdr:cNvPicPr>
      </xdr:nvPicPr>
      <xdr:blipFill>
        <a:blip xmlns:r="http://schemas.openxmlformats.org/officeDocument/2006/relationships" r:embed="rId2"/>
        <a:stretch>
          <a:fillRect/>
        </a:stretch>
      </xdr:blipFill>
      <xdr:spPr>
        <a:xfrm>
          <a:off x="0" y="2743200"/>
          <a:ext cx="9428571" cy="2514286"/>
        </a:xfrm>
        <a:prstGeom prst="rect">
          <a:avLst/>
        </a:prstGeom>
      </xdr:spPr>
    </xdr:pic>
    <xdr:clientData/>
  </xdr:twoCellAnchor>
  <xdr:twoCellAnchor editAs="oneCell">
    <xdr:from>
      <xdr:col>12</xdr:col>
      <xdr:colOff>0</xdr:colOff>
      <xdr:row>0</xdr:row>
      <xdr:rowOff>0</xdr:rowOff>
    </xdr:from>
    <xdr:to>
      <xdr:col>26</xdr:col>
      <xdr:colOff>465600</xdr:colOff>
      <xdr:row>13</xdr:row>
      <xdr:rowOff>104514</xdr:rowOff>
    </xdr:to>
    <xdr:pic>
      <xdr:nvPicPr>
        <xdr:cNvPr id="4" name="Picture 3">
          <a:extLst>
            <a:ext uri="{FF2B5EF4-FFF2-40B4-BE49-F238E27FC236}">
              <a16:creationId xmlns:a16="http://schemas.microsoft.com/office/drawing/2014/main" id="{050FC2FA-F105-4C1A-9CCE-F2CD01E05A45}"/>
            </a:ext>
          </a:extLst>
        </xdr:cNvPr>
        <xdr:cNvPicPr>
          <a:picLocks noChangeAspect="1"/>
        </xdr:cNvPicPr>
      </xdr:nvPicPr>
      <xdr:blipFill>
        <a:blip xmlns:r="http://schemas.openxmlformats.org/officeDocument/2006/relationships" r:embed="rId3"/>
        <a:stretch>
          <a:fillRect/>
        </a:stretch>
      </xdr:blipFill>
      <xdr:spPr>
        <a:xfrm>
          <a:off x="7315200" y="0"/>
          <a:ext cx="9000000" cy="2085714"/>
        </a:xfrm>
        <a:prstGeom prst="rect">
          <a:avLst/>
        </a:prstGeom>
      </xdr:spPr>
    </xdr:pic>
    <xdr:clientData/>
  </xdr:twoCellAnchor>
  <xdr:twoCellAnchor editAs="oneCell">
    <xdr:from>
      <xdr:col>17</xdr:col>
      <xdr:colOff>0</xdr:colOff>
      <xdr:row>18</xdr:row>
      <xdr:rowOff>0</xdr:rowOff>
    </xdr:from>
    <xdr:to>
      <xdr:col>30</xdr:col>
      <xdr:colOff>65676</xdr:colOff>
      <xdr:row>29</xdr:row>
      <xdr:rowOff>95029</xdr:rowOff>
    </xdr:to>
    <xdr:pic>
      <xdr:nvPicPr>
        <xdr:cNvPr id="5" name="Picture 4">
          <a:extLst>
            <a:ext uri="{FF2B5EF4-FFF2-40B4-BE49-F238E27FC236}">
              <a16:creationId xmlns:a16="http://schemas.microsoft.com/office/drawing/2014/main" id="{4FE80529-E30D-44AF-BC48-026643157109}"/>
            </a:ext>
          </a:extLst>
        </xdr:cNvPr>
        <xdr:cNvPicPr>
          <a:picLocks noChangeAspect="1"/>
        </xdr:cNvPicPr>
      </xdr:nvPicPr>
      <xdr:blipFill>
        <a:blip xmlns:r="http://schemas.openxmlformats.org/officeDocument/2006/relationships" r:embed="rId4"/>
        <a:stretch>
          <a:fillRect/>
        </a:stretch>
      </xdr:blipFill>
      <xdr:spPr>
        <a:xfrm>
          <a:off x="10363200" y="2743200"/>
          <a:ext cx="7990476" cy="177142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8457</xdr:colOff>
      <xdr:row>11</xdr:row>
      <xdr:rowOff>47410</xdr:rowOff>
    </xdr:to>
    <xdr:pic>
      <xdr:nvPicPr>
        <xdr:cNvPr id="2" name="Picture 1">
          <a:extLst>
            <a:ext uri="{FF2B5EF4-FFF2-40B4-BE49-F238E27FC236}">
              <a16:creationId xmlns:a16="http://schemas.microsoft.com/office/drawing/2014/main" id="{9AEDC9C8-C1A7-4E00-A2A4-DEB12C7992D1}"/>
            </a:ext>
          </a:extLst>
        </xdr:cNvPr>
        <xdr:cNvPicPr>
          <a:picLocks noChangeAspect="1"/>
        </xdr:cNvPicPr>
      </xdr:nvPicPr>
      <xdr:blipFill>
        <a:blip xmlns:r="http://schemas.openxmlformats.org/officeDocument/2006/relationships" r:embed="rId1"/>
        <a:stretch>
          <a:fillRect/>
        </a:stretch>
      </xdr:blipFill>
      <xdr:spPr>
        <a:xfrm>
          <a:off x="0" y="0"/>
          <a:ext cx="8542857" cy="1723810"/>
        </a:xfrm>
        <a:prstGeom prst="rect">
          <a:avLst/>
        </a:prstGeom>
      </xdr:spPr>
    </xdr:pic>
    <xdr:clientData/>
  </xdr:twoCellAnchor>
  <xdr:twoCellAnchor editAs="oneCell">
    <xdr:from>
      <xdr:col>0</xdr:col>
      <xdr:colOff>0</xdr:colOff>
      <xdr:row>13</xdr:row>
      <xdr:rowOff>0</xdr:rowOff>
    </xdr:from>
    <xdr:to>
      <xdr:col>10</xdr:col>
      <xdr:colOff>304000</xdr:colOff>
      <xdr:row>23</xdr:row>
      <xdr:rowOff>28381</xdr:rowOff>
    </xdr:to>
    <xdr:pic>
      <xdr:nvPicPr>
        <xdr:cNvPr id="3" name="Picture 2">
          <a:extLst>
            <a:ext uri="{FF2B5EF4-FFF2-40B4-BE49-F238E27FC236}">
              <a16:creationId xmlns:a16="http://schemas.microsoft.com/office/drawing/2014/main" id="{719DA9D2-F11E-44C2-B214-569FB4FBD0FE}"/>
            </a:ext>
          </a:extLst>
        </xdr:cNvPr>
        <xdr:cNvPicPr>
          <a:picLocks noChangeAspect="1"/>
        </xdr:cNvPicPr>
      </xdr:nvPicPr>
      <xdr:blipFill>
        <a:blip xmlns:r="http://schemas.openxmlformats.org/officeDocument/2006/relationships" r:embed="rId2"/>
        <a:stretch>
          <a:fillRect/>
        </a:stretch>
      </xdr:blipFill>
      <xdr:spPr>
        <a:xfrm>
          <a:off x="0" y="1981200"/>
          <a:ext cx="6400000" cy="1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256228</xdr:colOff>
      <xdr:row>7</xdr:row>
      <xdr:rowOff>133200</xdr:rowOff>
    </xdr:to>
    <xdr:pic>
      <xdr:nvPicPr>
        <xdr:cNvPr id="2" name="Picture 1">
          <a:extLst>
            <a:ext uri="{FF2B5EF4-FFF2-40B4-BE49-F238E27FC236}">
              <a16:creationId xmlns:a16="http://schemas.microsoft.com/office/drawing/2014/main" id="{DC841F69-C31E-447E-8513-916A40928902}"/>
            </a:ext>
          </a:extLst>
        </xdr:cNvPr>
        <xdr:cNvPicPr>
          <a:picLocks noChangeAspect="1"/>
        </xdr:cNvPicPr>
      </xdr:nvPicPr>
      <xdr:blipFill>
        <a:blip xmlns:r="http://schemas.openxmlformats.org/officeDocument/2006/relationships" r:embed="rId1"/>
        <a:stretch>
          <a:fillRect/>
        </a:stretch>
      </xdr:blipFill>
      <xdr:spPr>
        <a:xfrm>
          <a:off x="0" y="0"/>
          <a:ext cx="7571428" cy="1200000"/>
        </a:xfrm>
        <a:prstGeom prst="rect">
          <a:avLst/>
        </a:prstGeom>
      </xdr:spPr>
    </xdr:pic>
    <xdr:clientData/>
  </xdr:twoCellAnchor>
  <xdr:twoCellAnchor editAs="oneCell">
    <xdr:from>
      <xdr:col>0</xdr:col>
      <xdr:colOff>0</xdr:colOff>
      <xdr:row>8</xdr:row>
      <xdr:rowOff>0</xdr:rowOff>
    </xdr:from>
    <xdr:to>
      <xdr:col>12</xdr:col>
      <xdr:colOff>227657</xdr:colOff>
      <xdr:row>21</xdr:row>
      <xdr:rowOff>56895</xdr:rowOff>
    </xdr:to>
    <xdr:pic>
      <xdr:nvPicPr>
        <xdr:cNvPr id="3" name="Picture 2">
          <a:extLst>
            <a:ext uri="{FF2B5EF4-FFF2-40B4-BE49-F238E27FC236}">
              <a16:creationId xmlns:a16="http://schemas.microsoft.com/office/drawing/2014/main" id="{68F3EC87-4661-45A3-B3AD-BD17638EE04E}"/>
            </a:ext>
          </a:extLst>
        </xdr:cNvPr>
        <xdr:cNvPicPr>
          <a:picLocks noChangeAspect="1"/>
        </xdr:cNvPicPr>
      </xdr:nvPicPr>
      <xdr:blipFill>
        <a:blip xmlns:r="http://schemas.openxmlformats.org/officeDocument/2006/relationships" r:embed="rId2"/>
        <a:stretch>
          <a:fillRect/>
        </a:stretch>
      </xdr:blipFill>
      <xdr:spPr>
        <a:xfrm>
          <a:off x="0" y="1219200"/>
          <a:ext cx="7542857" cy="2038095"/>
        </a:xfrm>
        <a:prstGeom prst="rect">
          <a:avLst/>
        </a:prstGeom>
      </xdr:spPr>
    </xdr:pic>
    <xdr:clientData/>
  </xdr:twoCellAnchor>
  <xdr:twoCellAnchor editAs="oneCell">
    <xdr:from>
      <xdr:col>0</xdr:col>
      <xdr:colOff>0</xdr:colOff>
      <xdr:row>22</xdr:row>
      <xdr:rowOff>0</xdr:rowOff>
    </xdr:from>
    <xdr:to>
      <xdr:col>12</xdr:col>
      <xdr:colOff>284800</xdr:colOff>
      <xdr:row>39</xdr:row>
      <xdr:rowOff>113962</xdr:rowOff>
    </xdr:to>
    <xdr:pic>
      <xdr:nvPicPr>
        <xdr:cNvPr id="4" name="Picture 3">
          <a:extLst>
            <a:ext uri="{FF2B5EF4-FFF2-40B4-BE49-F238E27FC236}">
              <a16:creationId xmlns:a16="http://schemas.microsoft.com/office/drawing/2014/main" id="{49E9570A-4499-4210-A5A3-C34C9BF09953}"/>
            </a:ext>
          </a:extLst>
        </xdr:cNvPr>
        <xdr:cNvPicPr>
          <a:picLocks noChangeAspect="1"/>
        </xdr:cNvPicPr>
      </xdr:nvPicPr>
      <xdr:blipFill>
        <a:blip xmlns:r="http://schemas.openxmlformats.org/officeDocument/2006/relationships" r:embed="rId3"/>
        <a:stretch>
          <a:fillRect/>
        </a:stretch>
      </xdr:blipFill>
      <xdr:spPr>
        <a:xfrm>
          <a:off x="0" y="3352800"/>
          <a:ext cx="7600000" cy="2704762"/>
        </a:xfrm>
        <a:prstGeom prst="rect">
          <a:avLst/>
        </a:prstGeom>
      </xdr:spPr>
    </xdr:pic>
    <xdr:clientData/>
  </xdr:twoCellAnchor>
  <xdr:twoCellAnchor editAs="oneCell">
    <xdr:from>
      <xdr:col>12</xdr:col>
      <xdr:colOff>362814</xdr:colOff>
      <xdr:row>0</xdr:row>
      <xdr:rowOff>0</xdr:rowOff>
    </xdr:from>
    <xdr:to>
      <xdr:col>23</xdr:col>
      <xdr:colOff>571500</xdr:colOff>
      <xdr:row>35</xdr:row>
      <xdr:rowOff>142190</xdr:rowOff>
    </xdr:to>
    <xdr:pic>
      <xdr:nvPicPr>
        <xdr:cNvPr id="5" name="Picture 4">
          <a:extLst>
            <a:ext uri="{FF2B5EF4-FFF2-40B4-BE49-F238E27FC236}">
              <a16:creationId xmlns:a16="http://schemas.microsoft.com/office/drawing/2014/main" id="{FA122B7B-AB89-4C59-AC6A-77DAE6ED6EEF}"/>
            </a:ext>
          </a:extLst>
        </xdr:cNvPr>
        <xdr:cNvPicPr>
          <a:picLocks noChangeAspect="1"/>
        </xdr:cNvPicPr>
      </xdr:nvPicPr>
      <xdr:blipFill>
        <a:blip xmlns:r="http://schemas.openxmlformats.org/officeDocument/2006/relationships" r:embed="rId4"/>
        <a:stretch>
          <a:fillRect/>
        </a:stretch>
      </xdr:blipFill>
      <xdr:spPr>
        <a:xfrm>
          <a:off x="7678014" y="0"/>
          <a:ext cx="6914286" cy="547619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4</xdr:col>
      <xdr:colOff>399695</xdr:colOff>
      <xdr:row>26</xdr:row>
      <xdr:rowOff>142610</xdr:rowOff>
    </xdr:to>
    <xdr:pic>
      <xdr:nvPicPr>
        <xdr:cNvPr id="2" name="Picture 1">
          <a:extLst>
            <a:ext uri="{FF2B5EF4-FFF2-40B4-BE49-F238E27FC236}">
              <a16:creationId xmlns:a16="http://schemas.microsoft.com/office/drawing/2014/main" id="{57787F67-879A-4195-ADB7-E23B2BE5B255}"/>
            </a:ext>
          </a:extLst>
        </xdr:cNvPr>
        <xdr:cNvPicPr>
          <a:picLocks noChangeAspect="1"/>
        </xdr:cNvPicPr>
      </xdr:nvPicPr>
      <xdr:blipFill>
        <a:blip xmlns:r="http://schemas.openxmlformats.org/officeDocument/2006/relationships" r:embed="rId1"/>
        <a:stretch>
          <a:fillRect/>
        </a:stretch>
      </xdr:blipFill>
      <xdr:spPr>
        <a:xfrm>
          <a:off x="0" y="1981200"/>
          <a:ext cx="2838095" cy="212381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11</xdr:col>
      <xdr:colOff>18209</xdr:colOff>
      <xdr:row>38</xdr:row>
      <xdr:rowOff>37600</xdr:rowOff>
    </xdr:to>
    <xdr:pic>
      <xdr:nvPicPr>
        <xdr:cNvPr id="2" name="Picture 1">
          <a:extLst>
            <a:ext uri="{FF2B5EF4-FFF2-40B4-BE49-F238E27FC236}">
              <a16:creationId xmlns:a16="http://schemas.microsoft.com/office/drawing/2014/main" id="{C42DD745-2E85-42C0-9F55-4C0B341F96C9}"/>
            </a:ext>
          </a:extLst>
        </xdr:cNvPr>
        <xdr:cNvPicPr>
          <a:picLocks noChangeAspect="1"/>
        </xdr:cNvPicPr>
      </xdr:nvPicPr>
      <xdr:blipFill>
        <a:blip xmlns:r="http://schemas.openxmlformats.org/officeDocument/2006/relationships" r:embed="rId1"/>
        <a:stretch>
          <a:fillRect/>
        </a:stretch>
      </xdr:blipFill>
      <xdr:spPr>
        <a:xfrm>
          <a:off x="0" y="1828800"/>
          <a:ext cx="6723809" cy="400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15</xdr:col>
      <xdr:colOff>389333</xdr:colOff>
      <xdr:row>36</xdr:row>
      <xdr:rowOff>104476</xdr:rowOff>
    </xdr:to>
    <xdr:pic>
      <xdr:nvPicPr>
        <xdr:cNvPr id="2" name="Picture 1">
          <a:extLst>
            <a:ext uri="{FF2B5EF4-FFF2-40B4-BE49-F238E27FC236}">
              <a16:creationId xmlns:a16="http://schemas.microsoft.com/office/drawing/2014/main" id="{C3760058-524A-4921-A74E-FE32CA067CDA}"/>
            </a:ext>
          </a:extLst>
        </xdr:cNvPr>
        <xdr:cNvPicPr>
          <a:picLocks noChangeAspect="1"/>
        </xdr:cNvPicPr>
      </xdr:nvPicPr>
      <xdr:blipFill>
        <a:blip xmlns:r="http://schemas.openxmlformats.org/officeDocument/2006/relationships" r:embed="rId1"/>
        <a:stretch>
          <a:fillRect/>
        </a:stretch>
      </xdr:blipFill>
      <xdr:spPr>
        <a:xfrm>
          <a:off x="0" y="3200400"/>
          <a:ext cx="9533333" cy="2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400914</xdr:colOff>
      <xdr:row>0</xdr:row>
      <xdr:rowOff>0</xdr:rowOff>
    </xdr:from>
    <xdr:to>
      <xdr:col>24</xdr:col>
      <xdr:colOff>0</xdr:colOff>
      <xdr:row>35</xdr:row>
      <xdr:rowOff>142190</xdr:rowOff>
    </xdr:to>
    <xdr:pic>
      <xdr:nvPicPr>
        <xdr:cNvPr id="5" name="Picture 4">
          <a:extLst>
            <a:ext uri="{FF2B5EF4-FFF2-40B4-BE49-F238E27FC236}">
              <a16:creationId xmlns:a16="http://schemas.microsoft.com/office/drawing/2014/main" id="{4F71BB36-C6E7-43AC-958B-992AB65AA9CD}"/>
            </a:ext>
          </a:extLst>
        </xdr:cNvPr>
        <xdr:cNvPicPr>
          <a:picLocks noChangeAspect="1"/>
        </xdr:cNvPicPr>
      </xdr:nvPicPr>
      <xdr:blipFill>
        <a:blip xmlns:r="http://schemas.openxmlformats.org/officeDocument/2006/relationships" r:embed="rId1"/>
        <a:stretch>
          <a:fillRect/>
        </a:stretch>
      </xdr:blipFill>
      <xdr:spPr>
        <a:xfrm>
          <a:off x="7716114" y="0"/>
          <a:ext cx="6914286" cy="5476190"/>
        </a:xfrm>
        <a:prstGeom prst="rect">
          <a:avLst/>
        </a:prstGeom>
      </xdr:spPr>
    </xdr:pic>
    <xdr:clientData/>
  </xdr:twoCellAnchor>
  <xdr:twoCellAnchor editAs="oneCell">
    <xdr:from>
      <xdr:col>0</xdr:col>
      <xdr:colOff>0</xdr:colOff>
      <xdr:row>0</xdr:row>
      <xdr:rowOff>0</xdr:rowOff>
    </xdr:from>
    <xdr:to>
      <xdr:col>12</xdr:col>
      <xdr:colOff>265752</xdr:colOff>
      <xdr:row>8</xdr:row>
      <xdr:rowOff>104610</xdr:rowOff>
    </xdr:to>
    <xdr:pic>
      <xdr:nvPicPr>
        <xdr:cNvPr id="6" name="Picture 5">
          <a:extLst>
            <a:ext uri="{FF2B5EF4-FFF2-40B4-BE49-F238E27FC236}">
              <a16:creationId xmlns:a16="http://schemas.microsoft.com/office/drawing/2014/main" id="{7CAA36B4-3613-4980-A917-A05F1328AD1E}"/>
            </a:ext>
          </a:extLst>
        </xdr:cNvPr>
        <xdr:cNvPicPr>
          <a:picLocks noChangeAspect="1"/>
        </xdr:cNvPicPr>
      </xdr:nvPicPr>
      <xdr:blipFill>
        <a:blip xmlns:r="http://schemas.openxmlformats.org/officeDocument/2006/relationships" r:embed="rId2"/>
        <a:stretch>
          <a:fillRect/>
        </a:stretch>
      </xdr:blipFill>
      <xdr:spPr>
        <a:xfrm>
          <a:off x="0" y="0"/>
          <a:ext cx="7580952" cy="1323810"/>
        </a:xfrm>
        <a:prstGeom prst="rect">
          <a:avLst/>
        </a:prstGeom>
      </xdr:spPr>
    </xdr:pic>
    <xdr:clientData/>
  </xdr:twoCellAnchor>
  <xdr:twoCellAnchor editAs="oneCell">
    <xdr:from>
      <xdr:col>0</xdr:col>
      <xdr:colOff>0</xdr:colOff>
      <xdr:row>9</xdr:row>
      <xdr:rowOff>0</xdr:rowOff>
    </xdr:from>
    <xdr:to>
      <xdr:col>12</xdr:col>
      <xdr:colOff>256228</xdr:colOff>
      <xdr:row>22</xdr:row>
      <xdr:rowOff>37848</xdr:rowOff>
    </xdr:to>
    <xdr:pic>
      <xdr:nvPicPr>
        <xdr:cNvPr id="7" name="Picture 6">
          <a:extLst>
            <a:ext uri="{FF2B5EF4-FFF2-40B4-BE49-F238E27FC236}">
              <a16:creationId xmlns:a16="http://schemas.microsoft.com/office/drawing/2014/main" id="{DD844192-D985-4971-BCBF-CFCB3D1B0449}"/>
            </a:ext>
          </a:extLst>
        </xdr:cNvPr>
        <xdr:cNvPicPr>
          <a:picLocks noChangeAspect="1"/>
        </xdr:cNvPicPr>
      </xdr:nvPicPr>
      <xdr:blipFill>
        <a:blip xmlns:r="http://schemas.openxmlformats.org/officeDocument/2006/relationships" r:embed="rId3"/>
        <a:stretch>
          <a:fillRect/>
        </a:stretch>
      </xdr:blipFill>
      <xdr:spPr>
        <a:xfrm>
          <a:off x="0" y="1371600"/>
          <a:ext cx="7571428" cy="20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237181</xdr:colOff>
      <xdr:row>6</xdr:row>
      <xdr:rowOff>142743</xdr:rowOff>
    </xdr:to>
    <xdr:pic>
      <xdr:nvPicPr>
        <xdr:cNvPr id="6" name="Picture 5">
          <a:extLst>
            <a:ext uri="{FF2B5EF4-FFF2-40B4-BE49-F238E27FC236}">
              <a16:creationId xmlns:a16="http://schemas.microsoft.com/office/drawing/2014/main" id="{991E27D0-647B-4D17-8402-3C80AE9808B5}"/>
            </a:ext>
          </a:extLst>
        </xdr:cNvPr>
        <xdr:cNvPicPr>
          <a:picLocks noChangeAspect="1"/>
        </xdr:cNvPicPr>
      </xdr:nvPicPr>
      <xdr:blipFill>
        <a:blip xmlns:r="http://schemas.openxmlformats.org/officeDocument/2006/relationships" r:embed="rId1"/>
        <a:stretch>
          <a:fillRect/>
        </a:stretch>
      </xdr:blipFill>
      <xdr:spPr>
        <a:xfrm>
          <a:off x="0" y="0"/>
          <a:ext cx="7552381" cy="1057143"/>
        </a:xfrm>
        <a:prstGeom prst="rect">
          <a:avLst/>
        </a:prstGeom>
      </xdr:spPr>
    </xdr:pic>
    <xdr:clientData/>
  </xdr:twoCellAnchor>
  <xdr:twoCellAnchor editAs="oneCell">
    <xdr:from>
      <xdr:col>0</xdr:col>
      <xdr:colOff>0</xdr:colOff>
      <xdr:row>7</xdr:row>
      <xdr:rowOff>0</xdr:rowOff>
    </xdr:from>
    <xdr:to>
      <xdr:col>12</xdr:col>
      <xdr:colOff>218133</xdr:colOff>
      <xdr:row>19</xdr:row>
      <xdr:rowOff>18819</xdr:rowOff>
    </xdr:to>
    <xdr:pic>
      <xdr:nvPicPr>
        <xdr:cNvPr id="7" name="Picture 6">
          <a:extLst>
            <a:ext uri="{FF2B5EF4-FFF2-40B4-BE49-F238E27FC236}">
              <a16:creationId xmlns:a16="http://schemas.microsoft.com/office/drawing/2014/main" id="{5CE7C0D5-4D42-4549-B43D-550EAB5720F4}"/>
            </a:ext>
          </a:extLst>
        </xdr:cNvPr>
        <xdr:cNvPicPr>
          <a:picLocks noChangeAspect="1"/>
        </xdr:cNvPicPr>
      </xdr:nvPicPr>
      <xdr:blipFill>
        <a:blip xmlns:r="http://schemas.openxmlformats.org/officeDocument/2006/relationships" r:embed="rId2"/>
        <a:stretch>
          <a:fillRect/>
        </a:stretch>
      </xdr:blipFill>
      <xdr:spPr>
        <a:xfrm>
          <a:off x="0" y="1066800"/>
          <a:ext cx="7533333" cy="1847619"/>
        </a:xfrm>
        <a:prstGeom prst="rect">
          <a:avLst/>
        </a:prstGeom>
      </xdr:spPr>
    </xdr:pic>
    <xdr:clientData/>
  </xdr:twoCellAnchor>
  <xdr:twoCellAnchor editAs="oneCell">
    <xdr:from>
      <xdr:col>0</xdr:col>
      <xdr:colOff>0</xdr:colOff>
      <xdr:row>20</xdr:row>
      <xdr:rowOff>0</xdr:rowOff>
    </xdr:from>
    <xdr:to>
      <xdr:col>12</xdr:col>
      <xdr:colOff>284800</xdr:colOff>
      <xdr:row>30</xdr:row>
      <xdr:rowOff>76000</xdr:rowOff>
    </xdr:to>
    <xdr:pic>
      <xdr:nvPicPr>
        <xdr:cNvPr id="8" name="Picture 7">
          <a:extLst>
            <a:ext uri="{FF2B5EF4-FFF2-40B4-BE49-F238E27FC236}">
              <a16:creationId xmlns:a16="http://schemas.microsoft.com/office/drawing/2014/main" id="{5732AB20-C758-4AE6-9188-B74F398E858E}"/>
            </a:ext>
          </a:extLst>
        </xdr:cNvPr>
        <xdr:cNvPicPr>
          <a:picLocks noChangeAspect="1"/>
        </xdr:cNvPicPr>
      </xdr:nvPicPr>
      <xdr:blipFill>
        <a:blip xmlns:r="http://schemas.openxmlformats.org/officeDocument/2006/relationships" r:embed="rId3"/>
        <a:stretch>
          <a:fillRect/>
        </a:stretch>
      </xdr:blipFill>
      <xdr:spPr>
        <a:xfrm>
          <a:off x="0" y="3048000"/>
          <a:ext cx="7600000" cy="16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84495</xdr:colOff>
      <xdr:row>46</xdr:row>
      <xdr:rowOff>122952</xdr:rowOff>
    </xdr:to>
    <xdr:pic>
      <xdr:nvPicPr>
        <xdr:cNvPr id="3" name="Picture 2">
          <a:extLst>
            <a:ext uri="{FF2B5EF4-FFF2-40B4-BE49-F238E27FC236}">
              <a16:creationId xmlns:a16="http://schemas.microsoft.com/office/drawing/2014/main" id="{D6B8A7E2-5021-467D-B32A-73700300176A}"/>
            </a:ext>
          </a:extLst>
        </xdr:cNvPr>
        <xdr:cNvPicPr>
          <a:picLocks noChangeAspect="1"/>
        </xdr:cNvPicPr>
      </xdr:nvPicPr>
      <xdr:blipFill>
        <a:blip xmlns:r="http://schemas.openxmlformats.org/officeDocument/2006/relationships" r:embed="rId1"/>
        <a:stretch>
          <a:fillRect/>
        </a:stretch>
      </xdr:blipFill>
      <xdr:spPr>
        <a:xfrm>
          <a:off x="0" y="152400"/>
          <a:ext cx="9838095" cy="69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417828</xdr:colOff>
      <xdr:row>24</xdr:row>
      <xdr:rowOff>113848</xdr:rowOff>
    </xdr:to>
    <xdr:pic>
      <xdr:nvPicPr>
        <xdr:cNvPr id="2" name="Picture 1">
          <a:extLst>
            <a:ext uri="{FF2B5EF4-FFF2-40B4-BE49-F238E27FC236}">
              <a16:creationId xmlns:a16="http://schemas.microsoft.com/office/drawing/2014/main" id="{0E6B47A8-5933-4ECB-8517-1048329BF567}"/>
            </a:ext>
          </a:extLst>
        </xdr:cNvPr>
        <xdr:cNvPicPr>
          <a:picLocks noChangeAspect="1"/>
        </xdr:cNvPicPr>
      </xdr:nvPicPr>
      <xdr:blipFill>
        <a:blip xmlns:r="http://schemas.openxmlformats.org/officeDocument/2006/relationships" r:embed="rId1"/>
        <a:stretch>
          <a:fillRect/>
        </a:stretch>
      </xdr:blipFill>
      <xdr:spPr>
        <a:xfrm>
          <a:off x="0" y="152400"/>
          <a:ext cx="10171428" cy="36190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303543</xdr:colOff>
      <xdr:row>7</xdr:row>
      <xdr:rowOff>9410</xdr:rowOff>
    </xdr:to>
    <xdr:pic>
      <xdr:nvPicPr>
        <xdr:cNvPr id="2" name="Picture 1">
          <a:extLst>
            <a:ext uri="{FF2B5EF4-FFF2-40B4-BE49-F238E27FC236}">
              <a16:creationId xmlns:a16="http://schemas.microsoft.com/office/drawing/2014/main" id="{7C18E911-73FC-4C4A-8F2A-87A8A2C61A85}"/>
            </a:ext>
          </a:extLst>
        </xdr:cNvPr>
        <xdr:cNvPicPr>
          <a:picLocks noChangeAspect="1"/>
        </xdr:cNvPicPr>
      </xdr:nvPicPr>
      <xdr:blipFill>
        <a:blip xmlns:r="http://schemas.openxmlformats.org/officeDocument/2006/relationships" r:embed="rId1"/>
        <a:stretch>
          <a:fillRect/>
        </a:stretch>
      </xdr:blipFill>
      <xdr:spPr>
        <a:xfrm>
          <a:off x="0" y="152400"/>
          <a:ext cx="10057143" cy="923810"/>
        </a:xfrm>
        <a:prstGeom prst="rect">
          <a:avLst/>
        </a:prstGeom>
      </xdr:spPr>
    </xdr:pic>
    <xdr:clientData/>
  </xdr:twoCellAnchor>
  <xdr:twoCellAnchor editAs="oneCell">
    <xdr:from>
      <xdr:col>0</xdr:col>
      <xdr:colOff>0</xdr:colOff>
      <xdr:row>8</xdr:row>
      <xdr:rowOff>0</xdr:rowOff>
    </xdr:from>
    <xdr:to>
      <xdr:col>16</xdr:col>
      <xdr:colOff>341638</xdr:colOff>
      <xdr:row>30</xdr:row>
      <xdr:rowOff>9105</xdr:rowOff>
    </xdr:to>
    <xdr:pic>
      <xdr:nvPicPr>
        <xdr:cNvPr id="3" name="Picture 2">
          <a:extLst>
            <a:ext uri="{FF2B5EF4-FFF2-40B4-BE49-F238E27FC236}">
              <a16:creationId xmlns:a16="http://schemas.microsoft.com/office/drawing/2014/main" id="{D0032925-C4BE-48D4-93A2-5C2EA70022D3}"/>
            </a:ext>
          </a:extLst>
        </xdr:cNvPr>
        <xdr:cNvPicPr>
          <a:picLocks noChangeAspect="1"/>
        </xdr:cNvPicPr>
      </xdr:nvPicPr>
      <xdr:blipFill>
        <a:blip xmlns:r="http://schemas.openxmlformats.org/officeDocument/2006/relationships" r:embed="rId2"/>
        <a:stretch>
          <a:fillRect/>
        </a:stretch>
      </xdr:blipFill>
      <xdr:spPr>
        <a:xfrm>
          <a:off x="0" y="1219200"/>
          <a:ext cx="10095238" cy="3361905"/>
        </a:xfrm>
        <a:prstGeom prst="rect">
          <a:avLst/>
        </a:prstGeom>
      </xdr:spPr>
    </xdr:pic>
    <xdr:clientData/>
  </xdr:twoCellAnchor>
  <xdr:twoCellAnchor editAs="oneCell">
    <xdr:from>
      <xdr:col>0</xdr:col>
      <xdr:colOff>0</xdr:colOff>
      <xdr:row>32</xdr:row>
      <xdr:rowOff>0</xdr:rowOff>
    </xdr:from>
    <xdr:to>
      <xdr:col>16</xdr:col>
      <xdr:colOff>332114</xdr:colOff>
      <xdr:row>47</xdr:row>
      <xdr:rowOff>104476</xdr:rowOff>
    </xdr:to>
    <xdr:pic>
      <xdr:nvPicPr>
        <xdr:cNvPr id="4" name="Picture 3">
          <a:extLst>
            <a:ext uri="{FF2B5EF4-FFF2-40B4-BE49-F238E27FC236}">
              <a16:creationId xmlns:a16="http://schemas.microsoft.com/office/drawing/2014/main" id="{77B4A0B0-E11D-40D3-A075-3CA064EE2717}"/>
            </a:ext>
          </a:extLst>
        </xdr:cNvPr>
        <xdr:cNvPicPr>
          <a:picLocks noChangeAspect="1"/>
        </xdr:cNvPicPr>
      </xdr:nvPicPr>
      <xdr:blipFill>
        <a:blip xmlns:r="http://schemas.openxmlformats.org/officeDocument/2006/relationships" r:embed="rId3"/>
        <a:stretch>
          <a:fillRect/>
        </a:stretch>
      </xdr:blipFill>
      <xdr:spPr>
        <a:xfrm>
          <a:off x="0" y="4876800"/>
          <a:ext cx="10085714" cy="2390476"/>
        </a:xfrm>
        <a:prstGeom prst="rect">
          <a:avLst/>
        </a:prstGeom>
      </xdr:spPr>
    </xdr:pic>
    <xdr:clientData/>
  </xdr:twoCellAnchor>
  <xdr:twoCellAnchor editAs="oneCell">
    <xdr:from>
      <xdr:col>0</xdr:col>
      <xdr:colOff>0</xdr:colOff>
      <xdr:row>49</xdr:row>
      <xdr:rowOff>0</xdr:rowOff>
    </xdr:from>
    <xdr:to>
      <xdr:col>16</xdr:col>
      <xdr:colOff>313067</xdr:colOff>
      <xdr:row>75</xdr:row>
      <xdr:rowOff>132838</xdr:rowOff>
    </xdr:to>
    <xdr:pic>
      <xdr:nvPicPr>
        <xdr:cNvPr id="5" name="Picture 4">
          <a:extLst>
            <a:ext uri="{FF2B5EF4-FFF2-40B4-BE49-F238E27FC236}">
              <a16:creationId xmlns:a16="http://schemas.microsoft.com/office/drawing/2014/main" id="{2E874948-730C-4E99-9442-4C38207EF1A4}"/>
            </a:ext>
          </a:extLst>
        </xdr:cNvPr>
        <xdr:cNvPicPr>
          <a:picLocks noChangeAspect="1"/>
        </xdr:cNvPicPr>
      </xdr:nvPicPr>
      <xdr:blipFill>
        <a:blip xmlns:r="http://schemas.openxmlformats.org/officeDocument/2006/relationships" r:embed="rId4"/>
        <a:stretch>
          <a:fillRect/>
        </a:stretch>
      </xdr:blipFill>
      <xdr:spPr>
        <a:xfrm>
          <a:off x="0" y="7467600"/>
          <a:ext cx="10066667" cy="40952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522590</xdr:colOff>
      <xdr:row>29</xdr:row>
      <xdr:rowOff>104229</xdr:rowOff>
    </xdr:to>
    <xdr:pic>
      <xdr:nvPicPr>
        <xdr:cNvPr id="2" name="Picture 1">
          <a:extLst>
            <a:ext uri="{FF2B5EF4-FFF2-40B4-BE49-F238E27FC236}">
              <a16:creationId xmlns:a16="http://schemas.microsoft.com/office/drawing/2014/main" id="{BBDAA627-4AB8-43BC-92F7-B043CCC8D79C}"/>
            </a:ext>
          </a:extLst>
        </xdr:cNvPr>
        <xdr:cNvPicPr>
          <a:picLocks noChangeAspect="1"/>
        </xdr:cNvPicPr>
      </xdr:nvPicPr>
      <xdr:blipFill>
        <a:blip xmlns:r="http://schemas.openxmlformats.org/officeDocument/2006/relationships" r:embed="rId1"/>
        <a:stretch>
          <a:fillRect/>
        </a:stretch>
      </xdr:blipFill>
      <xdr:spPr>
        <a:xfrm>
          <a:off x="0" y="152400"/>
          <a:ext cx="10276190" cy="4371429"/>
        </a:xfrm>
        <a:prstGeom prst="rect">
          <a:avLst/>
        </a:prstGeom>
      </xdr:spPr>
    </xdr:pic>
    <xdr:clientData/>
  </xdr:twoCellAnchor>
  <xdr:twoCellAnchor editAs="oneCell">
    <xdr:from>
      <xdr:col>0</xdr:col>
      <xdr:colOff>0</xdr:colOff>
      <xdr:row>30</xdr:row>
      <xdr:rowOff>0</xdr:rowOff>
    </xdr:from>
    <xdr:to>
      <xdr:col>16</xdr:col>
      <xdr:colOff>284495</xdr:colOff>
      <xdr:row>45</xdr:row>
      <xdr:rowOff>18762</xdr:rowOff>
    </xdr:to>
    <xdr:pic>
      <xdr:nvPicPr>
        <xdr:cNvPr id="3" name="Picture 2">
          <a:extLst>
            <a:ext uri="{FF2B5EF4-FFF2-40B4-BE49-F238E27FC236}">
              <a16:creationId xmlns:a16="http://schemas.microsoft.com/office/drawing/2014/main" id="{A8BF62D3-7238-4FFB-8B79-59B129CB3DC6}"/>
            </a:ext>
          </a:extLst>
        </xdr:cNvPr>
        <xdr:cNvPicPr>
          <a:picLocks noChangeAspect="1"/>
        </xdr:cNvPicPr>
      </xdr:nvPicPr>
      <xdr:blipFill>
        <a:blip xmlns:r="http://schemas.openxmlformats.org/officeDocument/2006/relationships" r:embed="rId2"/>
        <a:stretch>
          <a:fillRect/>
        </a:stretch>
      </xdr:blipFill>
      <xdr:spPr>
        <a:xfrm>
          <a:off x="0" y="4572000"/>
          <a:ext cx="10038095"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465448</xdr:colOff>
      <xdr:row>4</xdr:row>
      <xdr:rowOff>28514</xdr:rowOff>
    </xdr:to>
    <xdr:pic>
      <xdr:nvPicPr>
        <xdr:cNvPr id="3" name="Picture 2">
          <a:extLst>
            <a:ext uri="{FF2B5EF4-FFF2-40B4-BE49-F238E27FC236}">
              <a16:creationId xmlns:a16="http://schemas.microsoft.com/office/drawing/2014/main" id="{FBE8FCAC-D7C5-48CC-88D3-4B5A7C974140}"/>
            </a:ext>
          </a:extLst>
        </xdr:cNvPr>
        <xdr:cNvPicPr>
          <a:picLocks noChangeAspect="1"/>
        </xdr:cNvPicPr>
      </xdr:nvPicPr>
      <xdr:blipFill>
        <a:blip xmlns:r="http://schemas.openxmlformats.org/officeDocument/2006/relationships" r:embed="rId1"/>
        <a:stretch>
          <a:fillRect/>
        </a:stretch>
      </xdr:blipFill>
      <xdr:spPr>
        <a:xfrm>
          <a:off x="0" y="152400"/>
          <a:ext cx="10219048" cy="485714"/>
        </a:xfrm>
        <a:prstGeom prst="rect">
          <a:avLst/>
        </a:prstGeom>
      </xdr:spPr>
    </xdr:pic>
    <xdr:clientData/>
  </xdr:twoCellAnchor>
  <xdr:twoCellAnchor editAs="oneCell">
    <xdr:from>
      <xdr:col>0</xdr:col>
      <xdr:colOff>0</xdr:colOff>
      <xdr:row>4</xdr:row>
      <xdr:rowOff>0</xdr:rowOff>
    </xdr:from>
    <xdr:to>
      <xdr:col>16</xdr:col>
      <xdr:colOff>246400</xdr:colOff>
      <xdr:row>6</xdr:row>
      <xdr:rowOff>85676</xdr:rowOff>
    </xdr:to>
    <xdr:pic>
      <xdr:nvPicPr>
        <xdr:cNvPr id="4" name="Picture 3">
          <a:extLst>
            <a:ext uri="{FF2B5EF4-FFF2-40B4-BE49-F238E27FC236}">
              <a16:creationId xmlns:a16="http://schemas.microsoft.com/office/drawing/2014/main" id="{91D4081F-0798-48D1-A195-570EF8DDAF86}"/>
            </a:ext>
          </a:extLst>
        </xdr:cNvPr>
        <xdr:cNvPicPr>
          <a:picLocks noChangeAspect="1"/>
        </xdr:cNvPicPr>
      </xdr:nvPicPr>
      <xdr:blipFill>
        <a:blip xmlns:r="http://schemas.openxmlformats.org/officeDocument/2006/relationships" r:embed="rId2"/>
        <a:stretch>
          <a:fillRect/>
        </a:stretch>
      </xdr:blipFill>
      <xdr:spPr>
        <a:xfrm>
          <a:off x="0" y="609600"/>
          <a:ext cx="10000000" cy="390476"/>
        </a:xfrm>
        <a:prstGeom prst="rect">
          <a:avLst/>
        </a:prstGeom>
      </xdr:spPr>
    </xdr:pic>
    <xdr:clientData/>
  </xdr:twoCellAnchor>
  <xdr:twoCellAnchor editAs="oneCell">
    <xdr:from>
      <xdr:col>0</xdr:col>
      <xdr:colOff>0</xdr:colOff>
      <xdr:row>7</xdr:row>
      <xdr:rowOff>0</xdr:rowOff>
    </xdr:from>
    <xdr:to>
      <xdr:col>16</xdr:col>
      <xdr:colOff>265448</xdr:colOff>
      <xdr:row>10</xdr:row>
      <xdr:rowOff>76133</xdr:rowOff>
    </xdr:to>
    <xdr:pic>
      <xdr:nvPicPr>
        <xdr:cNvPr id="5" name="Picture 4">
          <a:extLst>
            <a:ext uri="{FF2B5EF4-FFF2-40B4-BE49-F238E27FC236}">
              <a16:creationId xmlns:a16="http://schemas.microsoft.com/office/drawing/2014/main" id="{1D9DBBFE-62B5-49B9-A6C8-D8CAF71F41D6}"/>
            </a:ext>
          </a:extLst>
        </xdr:cNvPr>
        <xdr:cNvPicPr>
          <a:picLocks noChangeAspect="1"/>
        </xdr:cNvPicPr>
      </xdr:nvPicPr>
      <xdr:blipFill>
        <a:blip xmlns:r="http://schemas.openxmlformats.org/officeDocument/2006/relationships" r:embed="rId3"/>
        <a:stretch>
          <a:fillRect/>
        </a:stretch>
      </xdr:blipFill>
      <xdr:spPr>
        <a:xfrm>
          <a:off x="0" y="1066800"/>
          <a:ext cx="10019048" cy="533333"/>
        </a:xfrm>
        <a:prstGeom prst="rect">
          <a:avLst/>
        </a:prstGeom>
      </xdr:spPr>
    </xdr:pic>
    <xdr:clientData/>
  </xdr:twoCellAnchor>
  <xdr:twoCellAnchor editAs="oneCell">
    <xdr:from>
      <xdr:col>0</xdr:col>
      <xdr:colOff>0</xdr:colOff>
      <xdr:row>12</xdr:row>
      <xdr:rowOff>0</xdr:rowOff>
    </xdr:from>
    <xdr:to>
      <xdr:col>16</xdr:col>
      <xdr:colOff>294019</xdr:colOff>
      <xdr:row>17</xdr:row>
      <xdr:rowOff>38000</xdr:rowOff>
    </xdr:to>
    <xdr:pic>
      <xdr:nvPicPr>
        <xdr:cNvPr id="6" name="Picture 5">
          <a:extLst>
            <a:ext uri="{FF2B5EF4-FFF2-40B4-BE49-F238E27FC236}">
              <a16:creationId xmlns:a16="http://schemas.microsoft.com/office/drawing/2014/main" id="{0CB10A2C-16D1-4068-A195-60432C10A3E7}"/>
            </a:ext>
          </a:extLst>
        </xdr:cNvPr>
        <xdr:cNvPicPr>
          <a:picLocks noChangeAspect="1"/>
        </xdr:cNvPicPr>
      </xdr:nvPicPr>
      <xdr:blipFill>
        <a:blip xmlns:r="http://schemas.openxmlformats.org/officeDocument/2006/relationships" r:embed="rId4"/>
        <a:stretch>
          <a:fillRect/>
        </a:stretch>
      </xdr:blipFill>
      <xdr:spPr>
        <a:xfrm>
          <a:off x="0" y="1828800"/>
          <a:ext cx="10047619" cy="800000"/>
        </a:xfrm>
        <a:prstGeom prst="rect">
          <a:avLst/>
        </a:prstGeom>
      </xdr:spPr>
    </xdr:pic>
    <xdr:clientData/>
  </xdr:twoCellAnchor>
  <xdr:twoCellAnchor editAs="oneCell">
    <xdr:from>
      <xdr:col>0</xdr:col>
      <xdr:colOff>0</xdr:colOff>
      <xdr:row>19</xdr:row>
      <xdr:rowOff>0</xdr:rowOff>
    </xdr:from>
    <xdr:to>
      <xdr:col>16</xdr:col>
      <xdr:colOff>255924</xdr:colOff>
      <xdr:row>34</xdr:row>
      <xdr:rowOff>37809</xdr:rowOff>
    </xdr:to>
    <xdr:pic>
      <xdr:nvPicPr>
        <xdr:cNvPr id="7" name="Picture 6">
          <a:extLst>
            <a:ext uri="{FF2B5EF4-FFF2-40B4-BE49-F238E27FC236}">
              <a16:creationId xmlns:a16="http://schemas.microsoft.com/office/drawing/2014/main" id="{06823719-694F-4B6A-9206-F46971900146}"/>
            </a:ext>
          </a:extLst>
        </xdr:cNvPr>
        <xdr:cNvPicPr>
          <a:picLocks noChangeAspect="1"/>
        </xdr:cNvPicPr>
      </xdr:nvPicPr>
      <xdr:blipFill>
        <a:blip xmlns:r="http://schemas.openxmlformats.org/officeDocument/2006/relationships" r:embed="rId5"/>
        <a:stretch>
          <a:fillRect/>
        </a:stretch>
      </xdr:blipFill>
      <xdr:spPr>
        <a:xfrm>
          <a:off x="0" y="2895600"/>
          <a:ext cx="10009524" cy="2323809"/>
        </a:xfrm>
        <a:prstGeom prst="rect">
          <a:avLst/>
        </a:prstGeom>
      </xdr:spPr>
    </xdr:pic>
    <xdr:clientData/>
  </xdr:twoCellAnchor>
  <xdr:twoCellAnchor>
    <xdr:from>
      <xdr:col>51</xdr:col>
      <xdr:colOff>0</xdr:colOff>
      <xdr:row>37</xdr:row>
      <xdr:rowOff>0</xdr:rowOff>
    </xdr:from>
    <xdr:to>
      <xdr:col>54</xdr:col>
      <xdr:colOff>0</xdr:colOff>
      <xdr:row>49</xdr:row>
      <xdr:rowOff>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9D3AFC7-F443-4521-8146-0940ED64C4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726400" y="5638800"/>
              <a:ext cx="18288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47</xdr:col>
      <xdr:colOff>0</xdr:colOff>
      <xdr:row>37</xdr:row>
      <xdr:rowOff>0</xdr:rowOff>
    </xdr:from>
    <xdr:to>
      <xdr:col>50</xdr:col>
      <xdr:colOff>0</xdr:colOff>
      <xdr:row>49</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EE2B8C1-C7EA-4AF0-9D29-040B21D04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288000" y="5638800"/>
              <a:ext cx="1828800" cy="1828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35</xdr:row>
      <xdr:rowOff>0</xdr:rowOff>
    </xdr:from>
    <xdr:to>
      <xdr:col>16</xdr:col>
      <xdr:colOff>246400</xdr:colOff>
      <xdr:row>38</xdr:row>
      <xdr:rowOff>76133</xdr:rowOff>
    </xdr:to>
    <xdr:pic>
      <xdr:nvPicPr>
        <xdr:cNvPr id="13" name="Picture 12">
          <a:extLst>
            <a:ext uri="{FF2B5EF4-FFF2-40B4-BE49-F238E27FC236}">
              <a16:creationId xmlns:a16="http://schemas.microsoft.com/office/drawing/2014/main" id="{95AEDA40-D3F3-4014-A536-8F370D6F5DC3}"/>
            </a:ext>
          </a:extLst>
        </xdr:cNvPr>
        <xdr:cNvPicPr>
          <a:picLocks noChangeAspect="1"/>
        </xdr:cNvPicPr>
      </xdr:nvPicPr>
      <xdr:blipFill>
        <a:blip xmlns:r="http://schemas.openxmlformats.org/officeDocument/2006/relationships" r:embed="rId8"/>
        <a:stretch>
          <a:fillRect/>
        </a:stretch>
      </xdr:blipFill>
      <xdr:spPr>
        <a:xfrm>
          <a:off x="0" y="5334000"/>
          <a:ext cx="10000000" cy="533333"/>
        </a:xfrm>
        <a:prstGeom prst="rect">
          <a:avLst/>
        </a:prstGeom>
      </xdr:spPr>
    </xdr:pic>
    <xdr:clientData/>
  </xdr:twoCellAnchor>
  <xdr:twoCellAnchor editAs="oneCell">
    <xdr:from>
      <xdr:col>0</xdr:col>
      <xdr:colOff>0</xdr:colOff>
      <xdr:row>39</xdr:row>
      <xdr:rowOff>0</xdr:rowOff>
    </xdr:from>
    <xdr:to>
      <xdr:col>7</xdr:col>
      <xdr:colOff>75657</xdr:colOff>
      <xdr:row>69</xdr:row>
      <xdr:rowOff>104190</xdr:rowOff>
    </xdr:to>
    <xdr:pic>
      <xdr:nvPicPr>
        <xdr:cNvPr id="14" name="Picture 13">
          <a:extLst>
            <a:ext uri="{FF2B5EF4-FFF2-40B4-BE49-F238E27FC236}">
              <a16:creationId xmlns:a16="http://schemas.microsoft.com/office/drawing/2014/main" id="{93E635F2-13AE-452E-BC18-B1E533EBEB08}"/>
            </a:ext>
          </a:extLst>
        </xdr:cNvPr>
        <xdr:cNvPicPr>
          <a:picLocks noChangeAspect="1"/>
        </xdr:cNvPicPr>
      </xdr:nvPicPr>
      <xdr:blipFill>
        <a:blip xmlns:r="http://schemas.openxmlformats.org/officeDocument/2006/relationships" r:embed="rId9"/>
        <a:stretch>
          <a:fillRect/>
        </a:stretch>
      </xdr:blipFill>
      <xdr:spPr>
        <a:xfrm>
          <a:off x="0" y="5943600"/>
          <a:ext cx="4342857" cy="4676190"/>
        </a:xfrm>
        <a:prstGeom prst="rect">
          <a:avLst/>
        </a:prstGeom>
      </xdr:spPr>
    </xdr:pic>
    <xdr:clientData/>
  </xdr:twoCellAnchor>
  <xdr:twoCellAnchor editAs="oneCell">
    <xdr:from>
      <xdr:col>17</xdr:col>
      <xdr:colOff>0</xdr:colOff>
      <xdr:row>0</xdr:row>
      <xdr:rowOff>0</xdr:rowOff>
    </xdr:from>
    <xdr:to>
      <xdr:col>33</xdr:col>
      <xdr:colOff>246400</xdr:colOff>
      <xdr:row>12</xdr:row>
      <xdr:rowOff>9295</xdr:rowOff>
    </xdr:to>
    <xdr:pic>
      <xdr:nvPicPr>
        <xdr:cNvPr id="15" name="Picture 14">
          <a:extLst>
            <a:ext uri="{FF2B5EF4-FFF2-40B4-BE49-F238E27FC236}">
              <a16:creationId xmlns:a16="http://schemas.microsoft.com/office/drawing/2014/main" id="{C858DC96-2F39-4FB5-8148-960B2895BFF7}"/>
            </a:ext>
          </a:extLst>
        </xdr:cNvPr>
        <xdr:cNvPicPr>
          <a:picLocks noChangeAspect="1"/>
        </xdr:cNvPicPr>
      </xdr:nvPicPr>
      <xdr:blipFill>
        <a:blip xmlns:r="http://schemas.openxmlformats.org/officeDocument/2006/relationships" r:embed="rId10"/>
        <a:stretch>
          <a:fillRect/>
        </a:stretch>
      </xdr:blipFill>
      <xdr:spPr>
        <a:xfrm>
          <a:off x="10363200" y="0"/>
          <a:ext cx="10000000" cy="1838095"/>
        </a:xfrm>
        <a:prstGeom prst="rect">
          <a:avLst/>
        </a:prstGeom>
      </xdr:spPr>
    </xdr:pic>
    <xdr:clientData/>
  </xdr:twoCellAnchor>
  <xdr:twoCellAnchor editAs="oneCell">
    <xdr:from>
      <xdr:col>17</xdr:col>
      <xdr:colOff>0</xdr:colOff>
      <xdr:row>13</xdr:row>
      <xdr:rowOff>0</xdr:rowOff>
    </xdr:from>
    <xdr:to>
      <xdr:col>33</xdr:col>
      <xdr:colOff>246400</xdr:colOff>
      <xdr:row>48</xdr:row>
      <xdr:rowOff>85048</xdr:rowOff>
    </xdr:to>
    <xdr:pic>
      <xdr:nvPicPr>
        <xdr:cNvPr id="16" name="Picture 15">
          <a:extLst>
            <a:ext uri="{FF2B5EF4-FFF2-40B4-BE49-F238E27FC236}">
              <a16:creationId xmlns:a16="http://schemas.microsoft.com/office/drawing/2014/main" id="{67933065-0894-44D6-93C4-31951BB79F42}"/>
            </a:ext>
          </a:extLst>
        </xdr:cNvPr>
        <xdr:cNvPicPr>
          <a:picLocks noChangeAspect="1"/>
        </xdr:cNvPicPr>
      </xdr:nvPicPr>
      <xdr:blipFill>
        <a:blip xmlns:r="http://schemas.openxmlformats.org/officeDocument/2006/relationships" r:embed="rId11"/>
        <a:stretch>
          <a:fillRect/>
        </a:stretch>
      </xdr:blipFill>
      <xdr:spPr>
        <a:xfrm>
          <a:off x="10363200" y="1981200"/>
          <a:ext cx="10000000" cy="54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062E-025A-437E-9FC2-A287C1BA547A}">
  <dimension ref="A1:A3"/>
  <sheetViews>
    <sheetView workbookViewId="0"/>
  </sheetViews>
  <sheetFormatPr defaultRowHeight="12" x14ac:dyDescent="0.2"/>
  <sheetData>
    <row r="1" spans="1:1" x14ac:dyDescent="0.2">
      <c r="A1" t="s">
        <v>49</v>
      </c>
    </row>
    <row r="2" spans="1:1" x14ac:dyDescent="0.2">
      <c r="A2" t="s">
        <v>50</v>
      </c>
    </row>
    <row r="3" spans="1:1" x14ac:dyDescent="0.2">
      <c r="A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DC55-1256-468E-8DAC-DC0C2C013895}">
  <dimension ref="A1:Z62"/>
  <sheetViews>
    <sheetView workbookViewId="0"/>
  </sheetViews>
  <sheetFormatPr defaultRowHeight="12" x14ac:dyDescent="0.2"/>
  <sheetData>
    <row r="1" spans="1:25" x14ac:dyDescent="0.2">
      <c r="A1" t="s">
        <v>202</v>
      </c>
      <c r="R1" t="s">
        <v>199</v>
      </c>
    </row>
    <row r="2" spans="1:25" x14ac:dyDescent="0.2">
      <c r="S2" t="s">
        <v>200</v>
      </c>
      <c r="W2" t="s">
        <v>201</v>
      </c>
    </row>
    <row r="3" spans="1:25" x14ac:dyDescent="0.2">
      <c r="T3" t="s">
        <v>212</v>
      </c>
      <c r="U3" s="85">
        <v>20</v>
      </c>
      <c r="X3" t="s">
        <v>212</v>
      </c>
      <c r="Y3" s="85">
        <v>20</v>
      </c>
    </row>
    <row r="4" spans="1:25" x14ac:dyDescent="0.2">
      <c r="T4" t="s">
        <v>213</v>
      </c>
      <c r="U4" s="85">
        <v>30</v>
      </c>
      <c r="X4" t="s">
        <v>213</v>
      </c>
      <c r="Y4" s="85">
        <v>30</v>
      </c>
    </row>
    <row r="5" spans="1:25" x14ac:dyDescent="0.2">
      <c r="T5" t="s">
        <v>3</v>
      </c>
      <c r="U5" s="85">
        <v>27</v>
      </c>
      <c r="X5" t="s">
        <v>3</v>
      </c>
      <c r="Y5" s="85">
        <v>24</v>
      </c>
    </row>
    <row r="7" spans="1:25" x14ac:dyDescent="0.2">
      <c r="T7" t="s">
        <v>53</v>
      </c>
      <c r="U7" s="12">
        <f>SUM(U3:U4)/2</f>
        <v>25</v>
      </c>
      <c r="X7" t="s">
        <v>53</v>
      </c>
      <c r="Y7" s="12">
        <f>SUM(Y3:Y4)/2</f>
        <v>25</v>
      </c>
    </row>
    <row r="8" spans="1:25" x14ac:dyDescent="0.2">
      <c r="T8" t="s">
        <v>54</v>
      </c>
      <c r="U8" s="12">
        <f>(ABS(U4-U3)^2)/12</f>
        <v>8.3333333333333339</v>
      </c>
      <c r="X8" t="s">
        <v>54</v>
      </c>
      <c r="Y8" s="12">
        <f>(ABS(Y4-Y3)^2)/12</f>
        <v>8.3333333333333339</v>
      </c>
    </row>
    <row r="9" spans="1:25" x14ac:dyDescent="0.2">
      <c r="T9" t="s">
        <v>205</v>
      </c>
      <c r="U9" s="12">
        <f>SQRT(U8)</f>
        <v>2.8867513459481291</v>
      </c>
      <c r="X9" t="s">
        <v>205</v>
      </c>
      <c r="Y9" s="12">
        <f>SQRT(Y8)</f>
        <v>2.8867513459481291</v>
      </c>
    </row>
    <row r="10" spans="1:25" x14ac:dyDescent="0.2">
      <c r="T10" t="str">
        <f>"P("&amp;U5&amp;")"</f>
        <v>P(27)</v>
      </c>
      <c r="U10" s="12">
        <f>1/ABS(U4-U3)</f>
        <v>0.1</v>
      </c>
      <c r="X10" t="str">
        <f>"P("&amp;Y5&amp;")"</f>
        <v>P(24)</v>
      </c>
      <c r="Y10" s="12">
        <f>1/ABS(Y4-Y3)</f>
        <v>0.1</v>
      </c>
    </row>
    <row r="11" spans="1:25" x14ac:dyDescent="0.2">
      <c r="T11" s="17" t="str">
        <f>"P(&gt;"&amp;U5&amp;")"</f>
        <v>P(&gt;27)</v>
      </c>
      <c r="U11" s="22">
        <f>ABS(U5-U4)/(U4-U3)</f>
        <v>0.3</v>
      </c>
      <c r="X11" s="26" t="str">
        <f>"P(&gt;"&amp;Y5&amp;")"</f>
        <v>P(&gt;24)</v>
      </c>
      <c r="Y11" s="86">
        <f>ABS(Y5-Y4)/(Y4-Y3)</f>
        <v>0.6</v>
      </c>
    </row>
    <row r="12" spans="1:25" x14ac:dyDescent="0.2">
      <c r="T12" t="str">
        <f>"P(&lt;="&amp;U5&amp;")"</f>
        <v>P(&lt;=27)</v>
      </c>
      <c r="U12" s="12">
        <f>1-U11</f>
        <v>0.7</v>
      </c>
      <c r="X12" s="17" t="str">
        <f>"P(&lt;="&amp;Y5&amp;")"</f>
        <v>P(&lt;=24)</v>
      </c>
      <c r="Y12" s="22">
        <f>1-Y11</f>
        <v>0.4</v>
      </c>
    </row>
    <row r="14" spans="1:25" x14ac:dyDescent="0.2">
      <c r="R14" s="17" t="s">
        <v>206</v>
      </c>
    </row>
    <row r="15" spans="1:25" x14ac:dyDescent="0.2">
      <c r="T15" t="s">
        <v>207</v>
      </c>
    </row>
    <row r="16" spans="1:25" x14ac:dyDescent="0.2">
      <c r="T16" t="s">
        <v>208</v>
      </c>
    </row>
    <row r="17" spans="2:24" x14ac:dyDescent="0.2">
      <c r="T17" t="s">
        <v>209</v>
      </c>
    </row>
    <row r="18" spans="2:24" x14ac:dyDescent="0.2">
      <c r="T18" t="s">
        <v>210</v>
      </c>
    </row>
    <row r="19" spans="2:24" x14ac:dyDescent="0.2">
      <c r="T19" t="s">
        <v>211</v>
      </c>
    </row>
    <row r="21" spans="2:24" x14ac:dyDescent="0.2">
      <c r="S21" t="s">
        <v>212</v>
      </c>
      <c r="T21" s="87">
        <v>0.5</v>
      </c>
      <c r="U21" t="s">
        <v>212</v>
      </c>
      <c r="V21" t="s">
        <v>212</v>
      </c>
      <c r="W21" s="87">
        <v>0.5</v>
      </c>
    </row>
    <row r="22" spans="2:24" x14ac:dyDescent="0.2">
      <c r="S22" t="s">
        <v>213</v>
      </c>
      <c r="T22" s="87">
        <v>3</v>
      </c>
      <c r="U22" t="s">
        <v>212</v>
      </c>
      <c r="V22" t="s">
        <v>213</v>
      </c>
      <c r="W22" s="87">
        <v>3</v>
      </c>
    </row>
    <row r="23" spans="2:24" x14ac:dyDescent="0.2">
      <c r="S23" t="s">
        <v>3</v>
      </c>
      <c r="T23" s="85">
        <v>1</v>
      </c>
      <c r="V23" t="s">
        <v>3</v>
      </c>
      <c r="W23" s="85">
        <v>1.5</v>
      </c>
    </row>
    <row r="25" spans="2:24" x14ac:dyDescent="0.2">
      <c r="S25" t="s">
        <v>53</v>
      </c>
      <c r="T25" s="12">
        <f>SUM(T21:T22)/2</f>
        <v>1.75</v>
      </c>
      <c r="U25" t="s">
        <v>213</v>
      </c>
      <c r="V25" t="s">
        <v>53</v>
      </c>
      <c r="W25" s="12">
        <f>SUM(W21:W22)/2</f>
        <v>1.75</v>
      </c>
    </row>
    <row r="26" spans="2:24" x14ac:dyDescent="0.2">
      <c r="S26" t="s">
        <v>54</v>
      </c>
      <c r="T26" s="12">
        <f>(ABS(T22-T21)^2)/12</f>
        <v>0.52083333333333337</v>
      </c>
      <c r="V26" t="s">
        <v>54</v>
      </c>
      <c r="W26" s="12">
        <f>(ABS(W22-W21)^2)/12</f>
        <v>0.52083333333333337</v>
      </c>
    </row>
    <row r="27" spans="2:24" x14ac:dyDescent="0.2">
      <c r="B27" t="s">
        <v>212</v>
      </c>
      <c r="C27" s="85">
        <v>20</v>
      </c>
      <c r="S27" t="s">
        <v>205</v>
      </c>
      <c r="T27" s="12">
        <f>SQRT(T26)</f>
        <v>0.72168783648703227</v>
      </c>
      <c r="U27" t="s">
        <v>213</v>
      </c>
      <c r="V27" t="s">
        <v>205</v>
      </c>
      <c r="W27" s="12">
        <f>SQRT(W26)</f>
        <v>0.72168783648703227</v>
      </c>
    </row>
    <row r="28" spans="2:24" x14ac:dyDescent="0.2">
      <c r="B28" t="s">
        <v>213</v>
      </c>
      <c r="C28" s="85">
        <v>30</v>
      </c>
      <c r="S28" t="str">
        <f>"P("&amp;T23&amp;")"</f>
        <v>P(1)</v>
      </c>
      <c r="T28" s="12">
        <f>1/ABS(T22-T21)</f>
        <v>0.4</v>
      </c>
      <c r="U28" t="s">
        <v>215</v>
      </c>
      <c r="V28" t="str">
        <f>"P("&amp;W23&amp;")"</f>
        <v>P(1.5)</v>
      </c>
      <c r="W28" s="12">
        <f>1/ABS(W22-W21)</f>
        <v>0.4</v>
      </c>
    </row>
    <row r="29" spans="2:24" x14ac:dyDescent="0.2">
      <c r="B29" t="s">
        <v>3</v>
      </c>
      <c r="C29" s="85">
        <v>27</v>
      </c>
      <c r="S29" s="26" t="str">
        <f>"P(&gt;"&amp;T23&amp;")"</f>
        <v>P(&gt;1)</v>
      </c>
      <c r="T29" s="86">
        <f>ABS(T23-T22)/(T22-T21)</f>
        <v>0.8</v>
      </c>
      <c r="V29" s="26" t="str">
        <f>"P(&gt;"&amp;W23&amp;")"</f>
        <v>P(&gt;1.5)</v>
      </c>
      <c r="W29" s="86">
        <f>ABS(W23-W22)/(W22-W21)</f>
        <v>0.6</v>
      </c>
      <c r="X29" t="s">
        <v>140</v>
      </c>
    </row>
    <row r="30" spans="2:24" x14ac:dyDescent="0.2">
      <c r="S30" t="str">
        <f>"P(&lt;="&amp;T23&amp;")"</f>
        <v>P(&lt;=1)</v>
      </c>
      <c r="T30" s="12">
        <f>1-T29</f>
        <v>0.19999999999999996</v>
      </c>
      <c r="U30" t="s">
        <v>214</v>
      </c>
      <c r="V30" t="str">
        <f>"P(&lt;="&amp;W23&amp;")"</f>
        <v>P(&lt;=1.5)</v>
      </c>
      <c r="W30" s="12">
        <f>1-W29</f>
        <v>0.4</v>
      </c>
    </row>
    <row r="31" spans="2:24" x14ac:dyDescent="0.2">
      <c r="B31" t="s">
        <v>53</v>
      </c>
      <c r="C31" s="12">
        <f>SUM(C27:C28)/2</f>
        <v>25</v>
      </c>
    </row>
    <row r="32" spans="2:24" x14ac:dyDescent="0.2">
      <c r="B32" t="s">
        <v>54</v>
      </c>
      <c r="C32" s="12">
        <f>(ABS(C28-C27)^2)/12</f>
        <v>8.3333333333333339</v>
      </c>
      <c r="R32" s="17" t="s">
        <v>247</v>
      </c>
    </row>
    <row r="33" spans="2:24" x14ac:dyDescent="0.2">
      <c r="B33" t="s">
        <v>205</v>
      </c>
      <c r="C33" s="12">
        <f>SQRT(C32)</f>
        <v>2.8867513459481291</v>
      </c>
      <c r="S33" t="s">
        <v>248</v>
      </c>
      <c r="W33" t="s">
        <v>249</v>
      </c>
    </row>
    <row r="34" spans="2:24" x14ac:dyDescent="0.2">
      <c r="B34" t="str">
        <f>"P("&amp;C29&amp;")"</f>
        <v>P(27)</v>
      </c>
      <c r="C34" s="12">
        <f>1/ABS(C28-C27)</f>
        <v>0.1</v>
      </c>
    </row>
    <row r="35" spans="2:24" x14ac:dyDescent="0.2">
      <c r="B35" s="26" t="str">
        <f>"P(&gt;"&amp;C29&amp;")"</f>
        <v>P(&gt;27)</v>
      </c>
      <c r="C35" s="86">
        <f>ABS(C29-C28)/(C28-C27)</f>
        <v>0.3</v>
      </c>
      <c r="S35" t="s">
        <v>212</v>
      </c>
      <c r="T35" s="85">
        <v>5</v>
      </c>
      <c r="W35" t="s">
        <v>212</v>
      </c>
      <c r="X35" s="85">
        <v>5</v>
      </c>
    </row>
    <row r="36" spans="2:24" x14ac:dyDescent="0.2">
      <c r="B36" t="str">
        <f>"P(&lt;="&amp;C29&amp;")"</f>
        <v>P(&lt;=27)</v>
      </c>
      <c r="C36" s="12">
        <f>1-C35</f>
        <v>0.7</v>
      </c>
      <c r="S36" t="s">
        <v>213</v>
      </c>
      <c r="T36" s="85">
        <v>25</v>
      </c>
      <c r="W36" t="s">
        <v>213</v>
      </c>
      <c r="X36" s="85">
        <v>25</v>
      </c>
    </row>
    <row r="37" spans="2:24" x14ac:dyDescent="0.2">
      <c r="S37" t="s">
        <v>3</v>
      </c>
      <c r="T37" s="85">
        <v>10</v>
      </c>
      <c r="W37" t="s">
        <v>3</v>
      </c>
      <c r="X37" s="85">
        <v>13.4</v>
      </c>
    </row>
    <row r="39" spans="2:24" x14ac:dyDescent="0.2">
      <c r="S39" t="s">
        <v>53</v>
      </c>
      <c r="T39" s="12">
        <f>SUM(T35:T36)/2</f>
        <v>15</v>
      </c>
      <c r="W39" t="s">
        <v>53</v>
      </c>
      <c r="X39" s="12">
        <f>SUM(X35:X36)/2</f>
        <v>15</v>
      </c>
    </row>
    <row r="40" spans="2:24" x14ac:dyDescent="0.2">
      <c r="S40" t="s">
        <v>54</v>
      </c>
      <c r="T40" s="12">
        <f>(ABS(T36-T35)^2)/12</f>
        <v>33.333333333333336</v>
      </c>
      <c r="W40" t="s">
        <v>54</v>
      </c>
      <c r="X40" s="12">
        <f>(ABS(X36-X35)^2)/12</f>
        <v>33.333333333333336</v>
      </c>
    </row>
    <row r="41" spans="2:24" x14ac:dyDescent="0.2">
      <c r="S41" t="s">
        <v>205</v>
      </c>
      <c r="T41" s="12">
        <f>SQRT(T40)</f>
        <v>5.7735026918962582</v>
      </c>
      <c r="W41" t="s">
        <v>205</v>
      </c>
      <c r="X41" s="12">
        <f>SQRT(X40)</f>
        <v>5.7735026918962582</v>
      </c>
    </row>
    <row r="42" spans="2:24" x14ac:dyDescent="0.2">
      <c r="S42" s="17" t="str">
        <f>"P("&amp;T37&amp;")"</f>
        <v>P(10)</v>
      </c>
      <c r="T42" s="22">
        <f>1/ABS(T36-T35)</f>
        <v>0.05</v>
      </c>
      <c r="W42" s="17" t="str">
        <f>"P("&amp;X37&amp;")"</f>
        <v>P(13.4)</v>
      </c>
      <c r="X42" s="22">
        <f>1/ABS(X36-X35)</f>
        <v>0.05</v>
      </c>
    </row>
    <row r="43" spans="2:24" x14ac:dyDescent="0.2">
      <c r="S43" s="26" t="str">
        <f>"P(&gt;"&amp;T37&amp;")"</f>
        <v>P(&gt;10)</v>
      </c>
      <c r="T43" s="86">
        <f>ABS(T37-T36)/(T36-T35)</f>
        <v>0.75</v>
      </c>
      <c r="W43" s="26" t="str">
        <f>"P(&gt;"&amp;X37&amp;")"</f>
        <v>P(&gt;13.4)</v>
      </c>
      <c r="X43" s="86">
        <f>ABS(X37-X36)/(X36-X35)</f>
        <v>0.57999999999999996</v>
      </c>
    </row>
    <row r="44" spans="2:24" x14ac:dyDescent="0.2">
      <c r="S44" t="str">
        <f>"P(&lt;="&amp;T37&amp;")"</f>
        <v>P(&lt;=10)</v>
      </c>
      <c r="T44" s="12">
        <f>1-T43</f>
        <v>0.25</v>
      </c>
      <c r="W44" t="str">
        <f>"P(&lt;="&amp;X37&amp;")"</f>
        <v>P(&lt;=13.4)</v>
      </c>
      <c r="X44" s="12">
        <f>1-X43</f>
        <v>0.42000000000000004</v>
      </c>
    </row>
    <row r="46" spans="2:24" x14ac:dyDescent="0.2">
      <c r="R46" s="17" t="s">
        <v>250</v>
      </c>
    </row>
    <row r="47" spans="2:24" x14ac:dyDescent="0.2">
      <c r="S47" s="12">
        <f>T57</f>
        <v>12.005000000000001</v>
      </c>
      <c r="T47" t="s">
        <v>251</v>
      </c>
    </row>
    <row r="48" spans="2:24" x14ac:dyDescent="0.2">
      <c r="S48" s="12">
        <f>T59</f>
        <v>2.5980762113533121E-2</v>
      </c>
      <c r="T48" t="s">
        <v>252</v>
      </c>
    </row>
    <row r="49" spans="19:26" x14ac:dyDescent="0.2">
      <c r="S49" s="12">
        <f>T62</f>
        <v>0.44444444444443565</v>
      </c>
      <c r="T49" t="s">
        <v>253</v>
      </c>
    </row>
    <row r="50" spans="19:26" x14ac:dyDescent="0.2">
      <c r="S50" s="12">
        <f>W61</f>
        <v>0.77777777777778212</v>
      </c>
      <c r="T50" t="s">
        <v>254</v>
      </c>
    </row>
    <row r="51" spans="19:26" x14ac:dyDescent="0.2">
      <c r="S51" s="12">
        <f>Z61</f>
        <v>11.666666666666693</v>
      </c>
      <c r="T51" t="s">
        <v>255</v>
      </c>
    </row>
    <row r="53" spans="19:26" x14ac:dyDescent="0.2">
      <c r="S53" t="s">
        <v>212</v>
      </c>
      <c r="T53" s="85">
        <v>11.96</v>
      </c>
      <c r="V53" t="s">
        <v>212</v>
      </c>
      <c r="W53" s="85">
        <v>11.96</v>
      </c>
      <c r="Y53" t="s">
        <v>212</v>
      </c>
      <c r="Z53" s="85">
        <v>11.96</v>
      </c>
    </row>
    <row r="54" spans="19:26" x14ac:dyDescent="0.2">
      <c r="S54" t="s">
        <v>213</v>
      </c>
      <c r="T54" s="85">
        <v>12.05</v>
      </c>
      <c r="V54" t="s">
        <v>213</v>
      </c>
      <c r="W54" s="85">
        <v>12.05</v>
      </c>
      <c r="Y54" t="s">
        <v>213</v>
      </c>
      <c r="Z54" s="85">
        <v>12.05</v>
      </c>
    </row>
    <row r="55" spans="19:26" x14ac:dyDescent="0.2">
      <c r="S55" t="s">
        <v>3</v>
      </c>
      <c r="T55" s="85">
        <v>12</v>
      </c>
      <c r="V55" t="s">
        <v>3</v>
      </c>
      <c r="W55" s="85">
        <v>11.98</v>
      </c>
      <c r="Y55" t="s">
        <v>3</v>
      </c>
      <c r="Z55" s="85">
        <v>11</v>
      </c>
    </row>
    <row r="57" spans="19:26" x14ac:dyDescent="0.2">
      <c r="S57" t="s">
        <v>53</v>
      </c>
      <c r="T57" s="12">
        <f>SUM(T53:T54)/2</f>
        <v>12.005000000000001</v>
      </c>
      <c r="V57" t="s">
        <v>53</v>
      </c>
      <c r="W57" s="12">
        <f>SUM(W53:W54)/2</f>
        <v>12.005000000000001</v>
      </c>
      <c r="Y57" t="s">
        <v>53</v>
      </c>
      <c r="Z57" s="12">
        <f>SUM(Z53:Z54)/2</f>
        <v>12.005000000000001</v>
      </c>
    </row>
    <row r="58" spans="19:26" x14ac:dyDescent="0.2">
      <c r="S58" t="s">
        <v>54</v>
      </c>
      <c r="T58" s="12">
        <f>(ABS(T54-T53)^2)/12</f>
        <v>6.7499999999999798E-4</v>
      </c>
      <c r="V58" t="s">
        <v>54</v>
      </c>
      <c r="W58" s="12">
        <f>(ABS(W54-W53)^2)/12</f>
        <v>6.7499999999999798E-4</v>
      </c>
      <c r="Y58" t="s">
        <v>54</v>
      </c>
      <c r="Z58" s="12">
        <f>(ABS(Z54-Z53)^2)/12</f>
        <v>6.7499999999999798E-4</v>
      </c>
    </row>
    <row r="59" spans="19:26" x14ac:dyDescent="0.2">
      <c r="S59" t="s">
        <v>205</v>
      </c>
      <c r="T59" s="12">
        <f>SQRT(T58)</f>
        <v>2.5980762113533121E-2</v>
      </c>
      <c r="V59" t="s">
        <v>205</v>
      </c>
      <c r="W59" s="12">
        <f>SQRT(W58)</f>
        <v>2.5980762113533121E-2</v>
      </c>
      <c r="Y59" t="s">
        <v>205</v>
      </c>
      <c r="Z59" s="12">
        <f>SQRT(Z58)</f>
        <v>2.5980762113533121E-2</v>
      </c>
    </row>
    <row r="60" spans="19:26" x14ac:dyDescent="0.2">
      <c r="S60" s="26" t="str">
        <f>"P("&amp;T55&amp;")"</f>
        <v>P(12)</v>
      </c>
      <c r="T60" s="86">
        <f>1/ABS(T54-T53)</f>
        <v>11.111111111111128</v>
      </c>
      <c r="V60" s="26" t="str">
        <f>"P("&amp;W55&amp;")"</f>
        <v>P(11.98)</v>
      </c>
      <c r="W60" s="86">
        <f>1/ABS(W54-W53)</f>
        <v>11.111111111111128</v>
      </c>
      <c r="Y60" s="26" t="str">
        <f>"P("&amp;Z55&amp;")"</f>
        <v>P(11)</v>
      </c>
      <c r="Z60" s="86">
        <f>1/ABS(Z54-Z53)</f>
        <v>11.111111111111128</v>
      </c>
    </row>
    <row r="61" spans="19:26" x14ac:dyDescent="0.2">
      <c r="S61" s="26" t="str">
        <f>"P(&gt;"&amp;T55&amp;")"</f>
        <v>P(&gt;12)</v>
      </c>
      <c r="T61" s="86">
        <f>ABS(T55-T54)/(T54-T53)</f>
        <v>0.55555555555556435</v>
      </c>
      <c r="V61" s="26" t="str">
        <f>"P(&gt;"&amp;W55&amp;")"</f>
        <v>P(&gt;11.98)</v>
      </c>
      <c r="W61" s="86">
        <f>ABS(W55-W54)/(W54-W53)</f>
        <v>0.77777777777778212</v>
      </c>
      <c r="Y61" s="26" t="str">
        <f>"P(&gt;"&amp;Z55&amp;")"</f>
        <v>P(&gt;11)</v>
      </c>
      <c r="Z61" s="86">
        <f>ABS(Z55-Z54)/(Z54-Z53)</f>
        <v>11.666666666666693</v>
      </c>
    </row>
    <row r="62" spans="19:26" x14ac:dyDescent="0.2">
      <c r="S62" t="str">
        <f>"P(&lt;="&amp;T55&amp;")"</f>
        <v>P(&lt;=12)</v>
      </c>
      <c r="T62" s="12">
        <f>1-T61</f>
        <v>0.44444444444443565</v>
      </c>
      <c r="V62" t="str">
        <f>"P(&lt;="&amp;W55&amp;")"</f>
        <v>P(&lt;=11.98)</v>
      </c>
      <c r="W62" s="12">
        <f>1-W61</f>
        <v>0.22222222222221788</v>
      </c>
      <c r="Y62" t="str">
        <f>"P(&lt;="&amp;Z55&amp;")"</f>
        <v>P(&lt;=11)</v>
      </c>
      <c r="Z62" s="12">
        <f>1-Z61</f>
        <v>-10.666666666666693</v>
      </c>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D20A-50B3-4CA2-B522-18803CB4E220}">
  <dimension ref="A1:AD90"/>
  <sheetViews>
    <sheetView workbookViewId="0"/>
  </sheetViews>
  <sheetFormatPr defaultRowHeight="12" x14ac:dyDescent="0.2"/>
  <cols>
    <col min="21" max="21" width="9.140625" customWidth="1"/>
    <col min="25" max="25" width="9.42578125" bestFit="1" customWidth="1"/>
    <col min="29" max="29" width="9.42578125" bestFit="1" customWidth="1"/>
  </cols>
  <sheetData>
    <row r="1" spans="1:28" x14ac:dyDescent="0.2">
      <c r="A1" t="s">
        <v>216</v>
      </c>
      <c r="R1" s="17" t="s">
        <v>217</v>
      </c>
    </row>
    <row r="2" spans="1:28" x14ac:dyDescent="0.2">
      <c r="S2" t="s">
        <v>53</v>
      </c>
      <c r="T2" t="s">
        <v>4</v>
      </c>
      <c r="U2" s="85">
        <v>500</v>
      </c>
    </row>
    <row r="3" spans="1:28" x14ac:dyDescent="0.2">
      <c r="S3" t="s">
        <v>205</v>
      </c>
      <c r="T3" t="s">
        <v>5</v>
      </c>
      <c r="U3" s="85">
        <v>10</v>
      </c>
    </row>
    <row r="5" spans="1:28" x14ac:dyDescent="0.2">
      <c r="S5" t="s">
        <v>222</v>
      </c>
    </row>
    <row r="6" spans="1:28" x14ac:dyDescent="0.2">
      <c r="S6" t="s">
        <v>224</v>
      </c>
      <c r="T6" s="10" t="s">
        <v>223</v>
      </c>
      <c r="U6" s="10" t="s">
        <v>212</v>
      </c>
      <c r="V6" s="10" t="s">
        <v>213</v>
      </c>
    </row>
    <row r="7" spans="1:28" x14ac:dyDescent="0.2">
      <c r="S7">
        <v>1</v>
      </c>
      <c r="T7" s="88">
        <v>0.68</v>
      </c>
      <c r="U7" s="10">
        <f>U2-S7*U3</f>
        <v>490</v>
      </c>
      <c r="V7" s="10">
        <f>U2+S7*U3</f>
        <v>510</v>
      </c>
      <c r="W7" t="s">
        <v>218</v>
      </c>
    </row>
    <row r="8" spans="1:28" x14ac:dyDescent="0.2">
      <c r="S8">
        <v>2</v>
      </c>
      <c r="T8" s="88">
        <v>0.95</v>
      </c>
      <c r="U8" s="10">
        <f>U2-S8*U3</f>
        <v>480</v>
      </c>
      <c r="V8" s="10">
        <f>U2+S8*U3</f>
        <v>520</v>
      </c>
      <c r="W8" t="s">
        <v>219</v>
      </c>
    </row>
    <row r="9" spans="1:28" x14ac:dyDescent="0.2">
      <c r="S9">
        <v>3</v>
      </c>
      <c r="T9" s="88">
        <v>0.997</v>
      </c>
      <c r="U9" s="10">
        <f>U2-S9*U3</f>
        <v>470</v>
      </c>
      <c r="V9" s="10">
        <f>U2+S9*U3</f>
        <v>530</v>
      </c>
      <c r="W9" t="s">
        <v>220</v>
      </c>
    </row>
    <row r="11" spans="1:28" x14ac:dyDescent="0.2">
      <c r="R11" s="17" t="s">
        <v>225</v>
      </c>
    </row>
    <row r="12" spans="1:28" x14ac:dyDescent="0.2">
      <c r="S12" t="s">
        <v>53</v>
      </c>
      <c r="T12" t="s">
        <v>4</v>
      </c>
      <c r="U12" s="87">
        <v>29.81</v>
      </c>
      <c r="Z12" t="s">
        <v>53</v>
      </c>
      <c r="AA12" t="s">
        <v>4</v>
      </c>
      <c r="AB12" s="87">
        <v>29.81</v>
      </c>
    </row>
    <row r="13" spans="1:28" x14ac:dyDescent="0.2">
      <c r="S13" t="s">
        <v>205</v>
      </c>
      <c r="T13" t="s">
        <v>5</v>
      </c>
      <c r="U13" s="87">
        <v>9.31</v>
      </c>
      <c r="Z13" t="s">
        <v>205</v>
      </c>
      <c r="AA13" t="s">
        <v>5</v>
      </c>
      <c r="AB13" s="87">
        <v>9.31</v>
      </c>
    </row>
    <row r="14" spans="1:28" x14ac:dyDescent="0.2">
      <c r="S14" t="s">
        <v>3</v>
      </c>
      <c r="U14" s="87">
        <v>35</v>
      </c>
      <c r="Z14" t="s">
        <v>3</v>
      </c>
      <c r="AB14" s="87">
        <v>20</v>
      </c>
    </row>
    <row r="15" spans="1:28" x14ac:dyDescent="0.2">
      <c r="S15" t="s">
        <v>229</v>
      </c>
      <c r="U15" s="7">
        <f>(U14-U12)/U13</f>
        <v>0.55746509129967792</v>
      </c>
      <c r="Z15" t="s">
        <v>229</v>
      </c>
      <c r="AB15" s="7">
        <f>(AB14-AB12)/AB13</f>
        <v>-1.053705692803437</v>
      </c>
    </row>
    <row r="16" spans="1:28" x14ac:dyDescent="0.2">
      <c r="S16" t="str">
        <f>"P("&amp;U12&amp;"&lt;=x&lt;="&amp;U14&amp;")"</f>
        <v>P(29.81&lt;=x&lt;=35)</v>
      </c>
      <c r="U16" s="12">
        <f>ABS(0.5 - _xlfn.NORM.DIST(U14,U12,U13,TRUE))</f>
        <v>0.21139514823641226</v>
      </c>
      <c r="V16" t="s">
        <v>226</v>
      </c>
      <c r="Z16" t="str">
        <f>"P("&amp;AB12&amp;"&lt;=x&lt;="&amp;AB14&amp;")"</f>
        <v>P(29.81&lt;=x&lt;=20)</v>
      </c>
      <c r="AB16" s="12">
        <f>ABS(0.5 - _xlfn.NORM.DIST(AB14,AB12,AB13,TRUE))</f>
        <v>0.35399115911338869</v>
      </c>
    </row>
    <row r="17" spans="1:29" x14ac:dyDescent="0.2">
      <c r="S17" t="str">
        <f>"P(x&gt;"&amp;U14&amp;")"</f>
        <v>P(x&gt;35)</v>
      </c>
      <c r="U17" s="12">
        <f>1-_xlfn.NORM.DIST(U14,U12,U13,TRUE)</f>
        <v>0.28860485176358774</v>
      </c>
      <c r="V17" t="s">
        <v>227</v>
      </c>
      <c r="Z17" t="str">
        <f>"P(x&gt;"&amp;AB14&amp;")"</f>
        <v>P(x&gt;20)</v>
      </c>
      <c r="AB17" s="12">
        <f>1-_xlfn.NORM.DIST(AB14,AB12,AB13,TRUE)</f>
        <v>0.85399115911338863</v>
      </c>
    </row>
    <row r="18" spans="1:29" x14ac:dyDescent="0.2">
      <c r="S18" t="str">
        <f>"P(x&lt;"&amp;U14&amp;")"</f>
        <v>P(x&lt;35)</v>
      </c>
      <c r="U18" s="12">
        <f>_xlfn.NORM.DIST(U14,U12,U13,TRUE)</f>
        <v>0.71139514823641226</v>
      </c>
      <c r="Z18" t="str">
        <f>"P(x&lt;"&amp;AB14&amp;")"</f>
        <v>P(x&lt;20)</v>
      </c>
      <c r="AB18" s="12">
        <f>_xlfn.NORM.DIST(AB14,AB12,AB13,TRUE)</f>
        <v>0.14600884088661131</v>
      </c>
      <c r="AC18" t="s">
        <v>228</v>
      </c>
    </row>
    <row r="20" spans="1:29" x14ac:dyDescent="0.2">
      <c r="R20" s="17" t="s">
        <v>230</v>
      </c>
    </row>
    <row r="21" spans="1:29" x14ac:dyDescent="0.2">
      <c r="S21" t="s">
        <v>231</v>
      </c>
      <c r="Z21" s="6">
        <f>U31</f>
        <v>0.11581826401571216</v>
      </c>
    </row>
    <row r="22" spans="1:29" x14ac:dyDescent="0.2">
      <c r="S22" t="s">
        <v>232</v>
      </c>
      <c r="Z22" s="6">
        <f>U31-Y31</f>
        <v>0.10034238280514096</v>
      </c>
    </row>
    <row r="23" spans="1:29" x14ac:dyDescent="0.2">
      <c r="S23" t="s">
        <v>233</v>
      </c>
      <c r="Z23" s="6">
        <f>Y30+AC30</f>
        <v>0.80553667859626132</v>
      </c>
    </row>
    <row r="25" spans="1:29" x14ac:dyDescent="0.2">
      <c r="S25" t="s">
        <v>53</v>
      </c>
      <c r="T25" t="s">
        <v>4</v>
      </c>
      <c r="U25" s="87">
        <v>2878</v>
      </c>
      <c r="W25" t="s">
        <v>53</v>
      </c>
      <c r="X25" t="s">
        <v>4</v>
      </c>
      <c r="Y25" s="87">
        <v>2878</v>
      </c>
      <c r="AA25" t="s">
        <v>53</v>
      </c>
      <c r="AB25" t="s">
        <v>4</v>
      </c>
      <c r="AC25" s="87">
        <v>2878</v>
      </c>
    </row>
    <row r="26" spans="1:29" x14ac:dyDescent="0.2">
      <c r="S26" t="s">
        <v>205</v>
      </c>
      <c r="T26" t="s">
        <v>5</v>
      </c>
      <c r="U26" s="87">
        <v>520</v>
      </c>
      <c r="W26" t="s">
        <v>205</v>
      </c>
      <c r="X26" t="s">
        <v>5</v>
      </c>
      <c r="Y26" s="87">
        <v>520</v>
      </c>
      <c r="AA26" t="s">
        <v>205</v>
      </c>
      <c r="AB26" t="s">
        <v>5</v>
      </c>
      <c r="AC26" s="87">
        <v>520</v>
      </c>
    </row>
    <row r="27" spans="1:29" x14ac:dyDescent="0.2">
      <c r="S27" t="s">
        <v>3</v>
      </c>
      <c r="U27" s="87">
        <v>3500</v>
      </c>
      <c r="W27" t="s">
        <v>3</v>
      </c>
      <c r="Y27" s="87">
        <v>4000</v>
      </c>
      <c r="AA27" t="s">
        <v>3</v>
      </c>
      <c r="AC27" s="87">
        <v>2400</v>
      </c>
    </row>
    <row r="28" spans="1:29" x14ac:dyDescent="0.2">
      <c r="S28" t="str">
        <f>"x is "&amp;IF(U27&gt;U25,"greater than",IF(U27&lt;U25,"less than","equal to"))&amp;" the mean."</f>
        <v>x is greater than the mean.</v>
      </c>
      <c r="W28" t="str">
        <f>"x is "&amp;IF(Y27&gt;Y25,"greater than",IF(Y27&lt;Y25,"less than","equal to"))&amp;" the mean."</f>
        <v>x is greater than the mean.</v>
      </c>
      <c r="AA28" t="str">
        <f>"x is "&amp;IF(AC27&gt;AC25,"greater than",IF(AC27&lt;AC25,"less than","equal to"))&amp;" the mean."</f>
        <v>x is less than the mean.</v>
      </c>
    </row>
    <row r="29" spans="1:29" x14ac:dyDescent="0.2">
      <c r="S29" t="s">
        <v>229</v>
      </c>
      <c r="U29" s="7">
        <f>(U27-U25)/U26</f>
        <v>1.1961538461538461</v>
      </c>
      <c r="W29" t="s">
        <v>229</v>
      </c>
      <c r="Y29" s="7">
        <f>(Y27-Y25)/Y26</f>
        <v>2.1576923076923076</v>
      </c>
      <c r="AA29" t="s">
        <v>229</v>
      </c>
      <c r="AC29" s="7">
        <f>(AC27-AC25)/AC26</f>
        <v>-0.91923076923076918</v>
      </c>
    </row>
    <row r="30" spans="1:29" x14ac:dyDescent="0.2">
      <c r="S30" t="str">
        <f>"P("&amp;U25&amp;"&lt;=x&lt;="&amp;U27&amp;")"</f>
        <v>P(2878&lt;=x&lt;=3500)</v>
      </c>
      <c r="U30" s="12">
        <f>ABS(0.5 - _xlfn.NORM.DIST(U27,U25,U26,TRUE))</f>
        <v>0.38418173598428784</v>
      </c>
      <c r="W30" t="str">
        <f>"P("&amp;Y25&amp;"&lt;=x&lt;="&amp;Y27&amp;")"</f>
        <v>P(2878&lt;=x&lt;=4000)</v>
      </c>
      <c r="Y30" s="12">
        <f>ABS(0.5 - _xlfn.NORM.DIST(Y27,Y25,Y26,TRUE))</f>
        <v>0.4845241187894288</v>
      </c>
      <c r="AA30" t="str">
        <f>"P("&amp;AC25&amp;"&lt;=x&lt;="&amp;AC27&amp;")"</f>
        <v>P(2878&lt;=x&lt;=2400)</v>
      </c>
      <c r="AC30" s="12">
        <f>ABS(0.5 - _xlfn.NORM.DIST(AC27,AC25,AC26,TRUE))</f>
        <v>0.32101255980683252</v>
      </c>
    </row>
    <row r="31" spans="1:29" x14ac:dyDescent="0.2">
      <c r="S31" t="str">
        <f>"P(x&gt;"&amp;U27&amp;")"</f>
        <v>P(x&gt;3500)</v>
      </c>
      <c r="U31" s="12">
        <f>1-_xlfn.NORM.DIST(U27,U25,U26,TRUE)</f>
        <v>0.11581826401571216</v>
      </c>
      <c r="W31" t="str">
        <f>"P(x&gt;"&amp;Y27&amp;")"</f>
        <v>P(x&gt;4000)</v>
      </c>
      <c r="Y31" s="12">
        <f>1-_xlfn.NORM.DIST(Y27,Y25,Y26,TRUE)</f>
        <v>1.5475881210571196E-2</v>
      </c>
      <c r="AA31" t="str">
        <f>"P(x&gt;"&amp;AC27&amp;")"</f>
        <v>P(x&gt;2400)</v>
      </c>
      <c r="AC31" s="12">
        <f>1-_xlfn.NORM.DIST(AC27,AC25,AC26,TRUE)</f>
        <v>0.82101255980683252</v>
      </c>
    </row>
    <row r="32" spans="1:29" x14ac:dyDescent="0.2">
      <c r="A32" t="s">
        <v>221</v>
      </c>
      <c r="S32" t="str">
        <f>"P(x&lt;"&amp;U27&amp;")"</f>
        <v>P(x&lt;3500)</v>
      </c>
      <c r="U32" s="12">
        <f>_xlfn.NORM.DIST(U27,U25,U26,TRUE)</f>
        <v>0.88418173598428784</v>
      </c>
      <c r="W32" t="str">
        <f>"P(x&lt;"&amp;Y27&amp;")"</f>
        <v>P(x&lt;4000)</v>
      </c>
      <c r="Y32" s="12">
        <f>_xlfn.NORM.DIST(Y27,Y25,Y26,TRUE)</f>
        <v>0.9845241187894288</v>
      </c>
      <c r="AA32" t="str">
        <f>"P(x&lt;"&amp;AC27&amp;")"</f>
        <v>P(x&lt;2400)</v>
      </c>
      <c r="AC32" s="12">
        <f>_xlfn.NORM.DIST(AC27,AC25,AC26,TRUE)</f>
        <v>0.17898744019316751</v>
      </c>
    </row>
    <row r="34" spans="18:29" x14ac:dyDescent="0.2">
      <c r="R34" s="17" t="s">
        <v>260</v>
      </c>
    </row>
    <row r="35" spans="18:29" x14ac:dyDescent="0.2">
      <c r="S35" s="17" t="s">
        <v>261</v>
      </c>
    </row>
    <row r="36" spans="18:29" x14ac:dyDescent="0.2">
      <c r="S36" s="17" t="s">
        <v>262</v>
      </c>
    </row>
    <row r="38" spans="18:29" x14ac:dyDescent="0.2">
      <c r="S38" t="s">
        <v>256</v>
      </c>
      <c r="AB38" s="12">
        <f>U48</f>
        <v>0.40103996519891144</v>
      </c>
    </row>
    <row r="39" spans="18:29" x14ac:dyDescent="0.2">
      <c r="S39" t="s">
        <v>257</v>
      </c>
      <c r="AB39" s="12">
        <f>U50</f>
        <v>9.8960034801088573E-2</v>
      </c>
    </row>
    <row r="40" spans="18:29" x14ac:dyDescent="0.2">
      <c r="S40" t="s">
        <v>258</v>
      </c>
      <c r="AB40" s="12">
        <f>U48+Y48</f>
        <v>0.78837944390296899</v>
      </c>
    </row>
    <row r="41" spans="18:29" x14ac:dyDescent="0.2">
      <c r="S41" t="s">
        <v>259</v>
      </c>
      <c r="AB41" s="12">
        <f>U48-AC48</f>
        <v>0.22589440157908652</v>
      </c>
    </row>
    <row r="43" spans="18:29" x14ac:dyDescent="0.2">
      <c r="S43" t="s">
        <v>53</v>
      </c>
      <c r="T43" t="s">
        <v>4</v>
      </c>
      <c r="U43" s="87">
        <v>1054.5</v>
      </c>
      <c r="W43" t="s">
        <v>53</v>
      </c>
      <c r="X43" t="s">
        <v>4</v>
      </c>
      <c r="Y43" s="87">
        <v>1054.5</v>
      </c>
      <c r="AA43" t="s">
        <v>53</v>
      </c>
      <c r="AB43" t="s">
        <v>4</v>
      </c>
      <c r="AC43" s="87">
        <v>1054.5</v>
      </c>
    </row>
    <row r="44" spans="18:29" x14ac:dyDescent="0.2">
      <c r="S44" t="s">
        <v>205</v>
      </c>
      <c r="T44" t="s">
        <v>5</v>
      </c>
      <c r="U44" s="87">
        <v>120</v>
      </c>
      <c r="W44" t="s">
        <v>205</v>
      </c>
      <c r="X44" t="s">
        <v>5</v>
      </c>
      <c r="Y44" s="87">
        <v>120</v>
      </c>
      <c r="AA44" t="s">
        <v>205</v>
      </c>
      <c r="AB44" t="s">
        <v>5</v>
      </c>
      <c r="AC44" s="87">
        <v>120</v>
      </c>
    </row>
    <row r="45" spans="18:29" x14ac:dyDescent="0.2">
      <c r="S45" t="s">
        <v>3</v>
      </c>
      <c r="U45" s="87">
        <v>900</v>
      </c>
      <c r="W45" t="s">
        <v>3</v>
      </c>
      <c r="Y45" s="87">
        <v>1200</v>
      </c>
      <c r="AA45" t="s">
        <v>3</v>
      </c>
      <c r="AC45" s="87">
        <v>1000</v>
      </c>
    </row>
    <row r="46" spans="18:29" x14ac:dyDescent="0.2">
      <c r="S46" t="str">
        <f>"x is "&amp;IF(U45&gt;U43,"greater than",IF(U45&lt;U43,"less than","equal to"))&amp;" the mean."</f>
        <v>x is less than the mean.</v>
      </c>
      <c r="W46" t="str">
        <f>"x is "&amp;IF(Y45&gt;Y43,"greater than",IF(Y45&lt;Y43,"less than","equal to"))&amp;" the mean."</f>
        <v>x is greater than the mean.</v>
      </c>
      <c r="AA46" t="str">
        <f>"x is "&amp;IF(AC45&gt;AC43,"greater than",IF(AC45&lt;AC43,"less than","equal to"))&amp;" the mean."</f>
        <v>x is less than the mean.</v>
      </c>
    </row>
    <row r="47" spans="18:29" x14ac:dyDescent="0.2">
      <c r="S47" t="s">
        <v>229</v>
      </c>
      <c r="U47" s="7">
        <f>(U45-U43)/U44</f>
        <v>-1.2875000000000001</v>
      </c>
      <c r="W47" t="s">
        <v>229</v>
      </c>
      <c r="Y47" s="7">
        <f>(Y45-Y43)/Y44</f>
        <v>1.2124999999999999</v>
      </c>
      <c r="AA47" t="s">
        <v>229</v>
      </c>
      <c r="AC47" s="7">
        <f>(AC45-AC43)/AC44</f>
        <v>-0.45416666666666666</v>
      </c>
    </row>
    <row r="48" spans="18:29" x14ac:dyDescent="0.2">
      <c r="S48" t="str">
        <f>"P("&amp;U43&amp;"&lt;=x&lt;="&amp;U45&amp;")"</f>
        <v>P(1054.5&lt;=x&lt;=900)</v>
      </c>
      <c r="U48" s="12">
        <f>ABS(0.5 - _xlfn.NORM.DIST(U45,U43,U44,TRUE))</f>
        <v>0.40103996519891144</v>
      </c>
      <c r="W48" t="str">
        <f>"P("&amp;Y43&amp;"&lt;=x&lt;="&amp;Y45&amp;")"</f>
        <v>P(1054.5&lt;=x&lt;=1200)</v>
      </c>
      <c r="Y48" s="12">
        <f>ABS(0.5 - _xlfn.NORM.DIST(Y45,Y43,Y44,TRUE))</f>
        <v>0.38733947870405749</v>
      </c>
      <c r="AA48" t="str">
        <f>"P("&amp;AC43&amp;"&lt;=x&lt;="&amp;AC45&amp;")"</f>
        <v>P(1054.5&lt;=x&lt;=1000)</v>
      </c>
      <c r="AC48" s="12">
        <f>ABS(0.5 - _xlfn.NORM.DIST(AC45,AC43,AC44,TRUE))</f>
        <v>0.17514556361982492</v>
      </c>
    </row>
    <row r="49" spans="1:29" x14ac:dyDescent="0.2">
      <c r="A49" t="s">
        <v>222</v>
      </c>
      <c r="S49" t="str">
        <f>"P(x&gt;"&amp;U45&amp;")"</f>
        <v>P(x&gt;900)</v>
      </c>
      <c r="U49" s="12">
        <f>1-_xlfn.NORM.DIST(U45,U43,U44,TRUE)</f>
        <v>0.90103996519891139</v>
      </c>
      <c r="W49" t="str">
        <f>"P(x&gt;"&amp;Y45&amp;")"</f>
        <v>P(x&gt;1200)</v>
      </c>
      <c r="Y49" s="12">
        <f>1-_xlfn.NORM.DIST(Y45,Y43,Y44,TRUE)</f>
        <v>0.11266052129594251</v>
      </c>
      <c r="AA49" t="str">
        <f>"P(x&gt;"&amp;AC45&amp;")"</f>
        <v>P(x&gt;1000)</v>
      </c>
      <c r="AC49" s="12">
        <f>1-_xlfn.NORM.DIST(AC45,AC43,AC44,TRUE)</f>
        <v>0.67514556361982492</v>
      </c>
    </row>
    <row r="50" spans="1:29" x14ac:dyDescent="0.2">
      <c r="S50" t="str">
        <f>"P(x&lt;"&amp;U45&amp;")"</f>
        <v>P(x&lt;900)</v>
      </c>
      <c r="U50" s="12">
        <f>_xlfn.NORM.DIST(U45,U43,U44,TRUE)</f>
        <v>9.8960034801088573E-2</v>
      </c>
      <c r="W50" t="str">
        <f>"P(x&lt;"&amp;Y45&amp;")"</f>
        <v>P(x&lt;1200)</v>
      </c>
      <c r="Y50" s="12">
        <f>_xlfn.NORM.DIST(Y45,Y43,Y44,TRUE)</f>
        <v>0.88733947870405749</v>
      </c>
      <c r="AA50" t="str">
        <f>"P(x&lt;"&amp;AC45&amp;")"</f>
        <v>P(x&lt;1000)</v>
      </c>
      <c r="AC50" s="12">
        <f>_xlfn.NORM.DIST(AC45,AC43,AC44,TRUE)</f>
        <v>0.32485443638017508</v>
      </c>
    </row>
    <row r="52" spans="1:29" x14ac:dyDescent="0.2">
      <c r="R52" s="17" t="s">
        <v>263</v>
      </c>
    </row>
    <row r="53" spans="1:29" x14ac:dyDescent="0.2">
      <c r="S53" s="12">
        <f>U64</f>
        <v>9.6057507789772401E-2</v>
      </c>
      <c r="T53" t="s">
        <v>264</v>
      </c>
    </row>
    <row r="54" spans="1:29" x14ac:dyDescent="0.2">
      <c r="S54" s="12">
        <f>Y64</f>
        <v>0.98514416685602335</v>
      </c>
      <c r="T54" t="s">
        <v>265</v>
      </c>
    </row>
    <row r="55" spans="1:29" x14ac:dyDescent="0.2">
      <c r="S55" s="12">
        <f>U63+Y63</f>
        <v>0.88908665906625095</v>
      </c>
      <c r="T55" t="s">
        <v>266</v>
      </c>
    </row>
    <row r="56" spans="1:29" x14ac:dyDescent="0.2">
      <c r="T56" t="s">
        <v>267</v>
      </c>
    </row>
    <row r="58" spans="1:29" x14ac:dyDescent="0.2">
      <c r="S58" t="s">
        <v>53</v>
      </c>
      <c r="T58" t="s">
        <v>4</v>
      </c>
      <c r="U58" s="87">
        <v>270</v>
      </c>
      <c r="W58" t="s">
        <v>53</v>
      </c>
      <c r="X58" t="s">
        <v>4</v>
      </c>
      <c r="Y58" s="87">
        <v>270</v>
      </c>
      <c r="AA58" t="s">
        <v>53</v>
      </c>
      <c r="AB58" t="s">
        <v>4</v>
      </c>
      <c r="AC58" s="87">
        <v>270</v>
      </c>
    </row>
    <row r="59" spans="1:29" x14ac:dyDescent="0.2">
      <c r="S59" t="s">
        <v>205</v>
      </c>
      <c r="T59" t="s">
        <v>5</v>
      </c>
      <c r="U59" s="87">
        <v>23</v>
      </c>
      <c r="W59" t="s">
        <v>205</v>
      </c>
      <c r="X59" t="s">
        <v>5</v>
      </c>
      <c r="Y59" s="87">
        <v>23</v>
      </c>
      <c r="AA59" t="s">
        <v>205</v>
      </c>
      <c r="AB59" t="s">
        <v>5</v>
      </c>
      <c r="AC59" s="87">
        <v>23</v>
      </c>
    </row>
    <row r="60" spans="1:29" x14ac:dyDescent="0.2">
      <c r="S60" t="s">
        <v>3</v>
      </c>
      <c r="U60" s="87">
        <v>300</v>
      </c>
      <c r="W60" t="s">
        <v>3</v>
      </c>
      <c r="Y60" s="87">
        <v>220</v>
      </c>
      <c r="AA60" t="s">
        <v>3</v>
      </c>
      <c r="AC60" s="87"/>
    </row>
    <row r="61" spans="1:29" x14ac:dyDescent="0.2">
      <c r="S61" t="str">
        <f>"x is "&amp;IF(U60&gt;U58,"greater than",IF(U60&lt;U58,"less than","equal to"))&amp;" the mean."</f>
        <v>x is greater than the mean.</v>
      </c>
      <c r="W61" t="str">
        <f>"x is "&amp;IF(Y60&gt;Y58,"greater than",IF(Y60&lt;Y58,"less than","equal to"))&amp;" the mean."</f>
        <v>x is less than the mean.</v>
      </c>
      <c r="AA61" t="str">
        <f>"x is "&amp;IF(AC60&gt;AC58,"greater than",IF(AC60&lt;AC58,"less than","equal to"))&amp;" the mean."</f>
        <v>x is less than the mean.</v>
      </c>
    </row>
    <row r="62" spans="1:29" x14ac:dyDescent="0.2">
      <c r="S62" t="s">
        <v>229</v>
      </c>
      <c r="U62" s="7">
        <f>(U60-U58)/U59</f>
        <v>1.3043478260869565</v>
      </c>
      <c r="W62" t="s">
        <v>229</v>
      </c>
      <c r="Y62" s="7">
        <f>(Y60-Y58)/Y59</f>
        <v>-2.1739130434782608</v>
      </c>
      <c r="AA62" t="s">
        <v>229</v>
      </c>
      <c r="AC62" s="7">
        <f>(AC60-AC58)/AC59</f>
        <v>-11.739130434782609</v>
      </c>
    </row>
    <row r="63" spans="1:29" x14ac:dyDescent="0.2">
      <c r="S63" t="str">
        <f>"P("&amp;U58&amp;"&lt;=x&lt;="&amp;U60&amp;")"</f>
        <v>P(270&lt;=x&lt;=300)</v>
      </c>
      <c r="U63" s="12">
        <f>ABS(0.5 - _xlfn.NORM.DIST(U60,U58,U59,TRUE))</f>
        <v>0.4039424922102276</v>
      </c>
      <c r="W63" t="str">
        <f>"P("&amp;Y58&amp;"&lt;=x&lt;="&amp;Y60&amp;")"</f>
        <v>P(270&lt;=x&lt;=220)</v>
      </c>
      <c r="Y63" s="12">
        <f>ABS(0.5 - _xlfn.NORM.DIST(Y60,Y58,Y59,TRUE))</f>
        <v>0.4851441668560233</v>
      </c>
      <c r="AA63" t="str">
        <f>"P("&amp;AC58&amp;"&lt;=x&lt;="&amp;AC60&amp;")"</f>
        <v>P(270&lt;=x&lt;=)</v>
      </c>
      <c r="AC63" s="12">
        <f>ABS(0.5 - _xlfn.NORM.DIST(AC60,AC58,AC59,TRUE))</f>
        <v>0.5</v>
      </c>
    </row>
    <row r="64" spans="1:29" x14ac:dyDescent="0.2">
      <c r="S64" t="str">
        <f>"P(x&gt;"&amp;U60&amp;")"</f>
        <v>P(x&gt;300)</v>
      </c>
      <c r="U64" s="12">
        <f>1-_xlfn.NORM.DIST(U60,U58,U59,TRUE)</f>
        <v>9.6057507789772401E-2</v>
      </c>
      <c r="W64" t="str">
        <f>"P(x&gt;"&amp;Y60&amp;")"</f>
        <v>P(x&gt;220)</v>
      </c>
      <c r="Y64" s="12">
        <f>1-_xlfn.NORM.DIST(Y60,Y58,Y59,TRUE)</f>
        <v>0.98514416685602335</v>
      </c>
      <c r="AA64" t="str">
        <f>"P(x&gt;"&amp;AC60&amp;")"</f>
        <v>P(x&gt;)</v>
      </c>
      <c r="AC64" s="12">
        <f>1-_xlfn.NORM.DIST(AC60,AC58,AC59,TRUE)</f>
        <v>1</v>
      </c>
    </row>
    <row r="65" spans="2:30" x14ac:dyDescent="0.2">
      <c r="S65" t="str">
        <f>"P(x&lt;"&amp;U60&amp;")"</f>
        <v>P(x&lt;300)</v>
      </c>
      <c r="U65" s="12">
        <f>_xlfn.NORM.DIST(U60,U58,U59,TRUE)</f>
        <v>0.9039424922102276</v>
      </c>
      <c r="W65" t="str">
        <f>"P(x&lt;"&amp;Y60&amp;")"</f>
        <v>P(x&lt;220)</v>
      </c>
      <c r="Y65" s="12">
        <f>_xlfn.NORM.DIST(Y60,Y58,Y59,TRUE)</f>
        <v>1.4855833143976697E-2</v>
      </c>
      <c r="AA65" t="str">
        <f>"P(x&lt;"&amp;AC60&amp;")"</f>
        <v>P(x&lt;)</v>
      </c>
      <c r="AC65" s="12">
        <f>_xlfn.NORM.DIST(AC60,AC58,AC59,TRUE)</f>
        <v>4.0153947474997505E-32</v>
      </c>
    </row>
    <row r="67" spans="2:30" x14ac:dyDescent="0.2">
      <c r="AA67" t="s">
        <v>246</v>
      </c>
      <c r="AC67" s="91">
        <v>0.05</v>
      </c>
    </row>
    <row r="68" spans="2:30" x14ac:dyDescent="0.2">
      <c r="AA68" t="s">
        <v>268</v>
      </c>
      <c r="AC68" s="12">
        <f>0.5-AC67</f>
        <v>0.45</v>
      </c>
    </row>
    <row r="69" spans="2:30" x14ac:dyDescent="0.2">
      <c r="AA69" t="s">
        <v>229</v>
      </c>
      <c r="AC69" s="87">
        <v>1.64</v>
      </c>
      <c r="AD69" s="92" t="s">
        <v>269</v>
      </c>
    </row>
    <row r="70" spans="2:30" x14ac:dyDescent="0.2">
      <c r="AA70" t="s">
        <v>3</v>
      </c>
      <c r="AC70">
        <f>AC58+IF(AC67&gt;0,1,-1)*AC69*AC59</f>
        <v>307.72000000000003</v>
      </c>
    </row>
    <row r="78" spans="2:30" x14ac:dyDescent="0.2">
      <c r="B78" t="s">
        <v>53</v>
      </c>
      <c r="C78" t="s">
        <v>4</v>
      </c>
      <c r="D78" s="87">
        <v>270</v>
      </c>
    </row>
    <row r="79" spans="2:30" x14ac:dyDescent="0.2">
      <c r="B79" t="s">
        <v>205</v>
      </c>
      <c r="C79" t="s">
        <v>5</v>
      </c>
      <c r="D79" s="87">
        <v>23</v>
      </c>
    </row>
    <row r="80" spans="2:30" x14ac:dyDescent="0.2">
      <c r="B80" t="s">
        <v>3</v>
      </c>
      <c r="D80" s="87"/>
    </row>
    <row r="81" spans="2:5" x14ac:dyDescent="0.2">
      <c r="B81" t="str">
        <f>"x is "&amp;IF(D80&gt;D78,"greater than",IF(D80&lt;D78,"less than","equal to"))&amp;" the mean."</f>
        <v>x is less than the mean.</v>
      </c>
    </row>
    <row r="82" spans="2:5" x14ac:dyDescent="0.2">
      <c r="B82" t="s">
        <v>229</v>
      </c>
      <c r="D82" s="7">
        <f>(D80-D78)/D79</f>
        <v>-11.739130434782609</v>
      </c>
    </row>
    <row r="83" spans="2:5" x14ac:dyDescent="0.2">
      <c r="B83" t="str">
        <f>"P("&amp;D78&amp;"&lt;=x&lt;="&amp;D80&amp;")"</f>
        <v>P(270&lt;=x&lt;=)</v>
      </c>
      <c r="D83" s="12">
        <f>ABS(0.5 - _xlfn.NORM.DIST(D80,D78,D79,TRUE))</f>
        <v>0.5</v>
      </c>
    </row>
    <row r="84" spans="2:5" x14ac:dyDescent="0.2">
      <c r="B84" t="str">
        <f>"P(x&gt;"&amp;D80&amp;")"</f>
        <v>P(x&gt;)</v>
      </c>
      <c r="D84" s="12">
        <f>1-_xlfn.NORM.DIST(D80,D78,D79,TRUE)</f>
        <v>1</v>
      </c>
    </row>
    <row r="85" spans="2:5" x14ac:dyDescent="0.2">
      <c r="B85" t="str">
        <f>"P(x&lt;"&amp;D80&amp;")"</f>
        <v>P(x&lt;)</v>
      </c>
      <c r="D85" s="12">
        <f>_xlfn.NORM.DIST(D80,D78,D79,TRUE)</f>
        <v>4.0153947474997505E-32</v>
      </c>
    </row>
    <row r="87" spans="2:5" x14ac:dyDescent="0.2">
      <c r="B87" t="s">
        <v>246</v>
      </c>
      <c r="D87" s="91">
        <v>0.05</v>
      </c>
    </row>
    <row r="88" spans="2:5" x14ac:dyDescent="0.2">
      <c r="B88" t="s">
        <v>268</v>
      </c>
      <c r="D88" s="12">
        <f>0.5-D87</f>
        <v>0.45</v>
      </c>
    </row>
    <row r="89" spans="2:5" x14ac:dyDescent="0.2">
      <c r="B89" t="s">
        <v>229</v>
      </c>
      <c r="D89" s="87">
        <v>1.64</v>
      </c>
      <c r="E89" s="92" t="s">
        <v>269</v>
      </c>
    </row>
    <row r="90" spans="2:5" x14ac:dyDescent="0.2">
      <c r="B90" t="s">
        <v>3</v>
      </c>
      <c r="D90">
        <f>D78+IF(D87&gt;0,1,-1)*D89*D79</f>
        <v>307.72000000000003</v>
      </c>
    </row>
  </sheetData>
  <hyperlinks>
    <hyperlink ref="AD69" location="_z_table" display="per z_table" xr:uid="{3763CFC2-7C26-49E9-A317-8B5387DB10C7}"/>
    <hyperlink ref="E89" location="_z_table" display="per z_table" xr:uid="{2EAC32CE-8E61-47B9-A498-E43703731B9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3788-A308-471C-B2FC-E403DF8A9214}">
  <dimension ref="A1:AO66"/>
  <sheetViews>
    <sheetView workbookViewId="0"/>
  </sheetViews>
  <sheetFormatPr defaultRowHeight="12" x14ac:dyDescent="0.2"/>
  <sheetData>
    <row r="1" spans="1:41" x14ac:dyDescent="0.2">
      <c r="A1" t="s">
        <v>234</v>
      </c>
      <c r="R1" s="17" t="s">
        <v>241</v>
      </c>
    </row>
    <row r="2" spans="1:41" x14ac:dyDescent="0.2">
      <c r="S2" s="17" t="s">
        <v>242</v>
      </c>
    </row>
    <row r="3" spans="1:41" x14ac:dyDescent="0.2">
      <c r="S3" s="17" t="s">
        <v>243</v>
      </c>
    </row>
    <row r="5" spans="1:41" x14ac:dyDescent="0.2">
      <c r="S5" s="45" t="s">
        <v>235</v>
      </c>
      <c r="Y5" s="45" t="s">
        <v>236</v>
      </c>
      <c r="AD5" s="45" t="s">
        <v>237</v>
      </c>
      <c r="AK5" s="45" t="s">
        <v>238</v>
      </c>
    </row>
    <row r="6" spans="1:41" x14ac:dyDescent="0.2">
      <c r="S6" s="5"/>
      <c r="T6" s="5"/>
      <c r="U6" s="5" t="s">
        <v>239</v>
      </c>
      <c r="V6" s="5" t="s">
        <v>240</v>
      </c>
      <c r="W6" s="5"/>
      <c r="X6" s="5"/>
      <c r="Y6" s="5"/>
      <c r="Z6" s="5"/>
      <c r="AA6" s="5" t="s">
        <v>239</v>
      </c>
      <c r="AB6" s="5" t="s">
        <v>240</v>
      </c>
      <c r="AC6" s="5"/>
      <c r="AD6" s="5"/>
      <c r="AE6" s="5"/>
      <c r="AF6" s="5" t="s">
        <v>239</v>
      </c>
      <c r="AG6" s="5" t="s">
        <v>240</v>
      </c>
      <c r="AK6" s="5"/>
      <c r="AL6" s="5"/>
      <c r="AM6" s="5" t="s">
        <v>239</v>
      </c>
      <c r="AN6" s="5" t="s">
        <v>240</v>
      </c>
      <c r="AO6" s="5"/>
    </row>
    <row r="7" spans="1:41" x14ac:dyDescent="0.2">
      <c r="S7" s="5" t="s">
        <v>53</v>
      </c>
      <c r="T7" s="5" t="s">
        <v>4</v>
      </c>
      <c r="U7" s="89">
        <f>0.3*60</f>
        <v>18</v>
      </c>
      <c r="V7" s="89">
        <f>1*60</f>
        <v>60</v>
      </c>
      <c r="W7" s="5"/>
      <c r="X7" s="5"/>
      <c r="Y7" s="5" t="s">
        <v>53</v>
      </c>
      <c r="Z7" s="5" t="s">
        <v>4</v>
      </c>
      <c r="AA7" s="89">
        <f>0.3*60</f>
        <v>18</v>
      </c>
      <c r="AB7" s="89">
        <f>1*60</f>
        <v>60</v>
      </c>
      <c r="AC7" s="5"/>
      <c r="AD7" s="5" t="s">
        <v>53</v>
      </c>
      <c r="AE7" s="5" t="s">
        <v>4</v>
      </c>
      <c r="AF7" s="89">
        <f>0.3*60</f>
        <v>18</v>
      </c>
      <c r="AG7" s="89">
        <f>1*60</f>
        <v>60</v>
      </c>
      <c r="AK7" s="5" t="s">
        <v>53</v>
      </c>
      <c r="AL7" s="5" t="s">
        <v>4</v>
      </c>
      <c r="AM7" s="89">
        <f>0.3*60</f>
        <v>18</v>
      </c>
      <c r="AN7" s="89">
        <f>1*60</f>
        <v>60</v>
      </c>
    </row>
    <row r="8" spans="1:41" x14ac:dyDescent="0.2">
      <c r="S8" s="5" t="s">
        <v>3</v>
      </c>
      <c r="T8" s="5"/>
      <c r="U8" s="89">
        <v>15</v>
      </c>
      <c r="V8" s="89">
        <v>15</v>
      </c>
      <c r="W8" s="5"/>
      <c r="X8" s="5"/>
      <c r="Y8" s="5" t="s">
        <v>3</v>
      </c>
      <c r="Z8" s="5"/>
      <c r="AA8" s="89">
        <v>120</v>
      </c>
      <c r="AB8" s="89">
        <v>120</v>
      </c>
      <c r="AC8" s="5"/>
      <c r="AD8" s="5" t="s">
        <v>3</v>
      </c>
      <c r="AE8" s="5"/>
      <c r="AF8" s="89">
        <v>30</v>
      </c>
      <c r="AG8" s="89">
        <v>30</v>
      </c>
      <c r="AK8" s="5" t="s">
        <v>3</v>
      </c>
      <c r="AL8" s="5"/>
      <c r="AM8" s="89">
        <v>0</v>
      </c>
      <c r="AN8" s="89">
        <v>0</v>
      </c>
    </row>
    <row r="9" spans="1:41" x14ac:dyDescent="0.2">
      <c r="S9" s="5" t="s">
        <v>245</v>
      </c>
      <c r="T9" s="5" t="s">
        <v>244</v>
      </c>
      <c r="U9" s="90">
        <f>1/U7</f>
        <v>5.5555555555555552E-2</v>
      </c>
      <c r="V9" s="90">
        <f>1/V7</f>
        <v>1.6666666666666666E-2</v>
      </c>
      <c r="W9" s="5"/>
      <c r="X9" s="5"/>
      <c r="Y9" s="5" t="s">
        <v>245</v>
      </c>
      <c r="Z9" s="5" t="s">
        <v>244</v>
      </c>
      <c r="AA9" s="90">
        <f>1/AA7</f>
        <v>5.5555555555555552E-2</v>
      </c>
      <c r="AB9" s="90">
        <f>1/AB7</f>
        <v>1.6666666666666666E-2</v>
      </c>
      <c r="AC9" s="5"/>
      <c r="AD9" s="5" t="s">
        <v>245</v>
      </c>
      <c r="AE9" s="5" t="s">
        <v>244</v>
      </c>
      <c r="AF9" s="90">
        <f>1/AF7</f>
        <v>5.5555555555555552E-2</v>
      </c>
      <c r="AG9" s="90">
        <f>1/AG7</f>
        <v>1.6666666666666666E-2</v>
      </c>
      <c r="AK9" s="5" t="s">
        <v>245</v>
      </c>
      <c r="AL9" s="5" t="s">
        <v>244</v>
      </c>
      <c r="AM9" s="90">
        <f>1/AM7</f>
        <v>5.5555555555555552E-2</v>
      </c>
      <c r="AN9" s="90">
        <f>1/AN7</f>
        <v>1.6666666666666666E-2</v>
      </c>
    </row>
    <row r="10" spans="1:41" x14ac:dyDescent="0.2">
      <c r="S10" s="5"/>
      <c r="T10" s="5"/>
      <c r="U10" s="90">
        <f>1-(EXP(1)^(-U9*U8))</f>
        <v>0.56540179149292169</v>
      </c>
      <c r="V10" s="90">
        <f>1-(EXP(1)^(-V9*V8))</f>
        <v>0.22119921692859512</v>
      </c>
      <c r="W10" s="5"/>
      <c r="X10" s="5"/>
      <c r="Y10" s="5"/>
      <c r="Z10" s="5"/>
      <c r="AA10" s="90">
        <f>1-(EXP(1)^(-AA9*AA8))</f>
        <v>0.9987273661986602</v>
      </c>
      <c r="AB10" s="90">
        <f>1-(EXP(1)^(-AB9*AB8))</f>
        <v>0.8646647167633873</v>
      </c>
      <c r="AC10" s="5"/>
      <c r="AD10" s="5"/>
      <c r="AE10" s="5"/>
      <c r="AF10" s="90">
        <f>1-(EXP(1)^(-AF9*AF8))</f>
        <v>0.81112439716243812</v>
      </c>
      <c r="AG10" s="90">
        <f>1-(EXP(1)^(-AG9*AG8))</f>
        <v>0.39346934028736658</v>
      </c>
      <c r="AK10" s="5"/>
      <c r="AL10" s="5"/>
      <c r="AM10" s="90">
        <f>1-(EXP(1)^(-AM9*AM8))</f>
        <v>0</v>
      </c>
      <c r="AN10" s="90">
        <f>1-(EXP(1)^(-AN9*AN8))</f>
        <v>0</v>
      </c>
    </row>
    <row r="11" spans="1:41" x14ac:dyDescent="0.2">
      <c r="S11" s="5"/>
      <c r="T11" s="5" t="str">
        <f>"P(&lt;"&amp;U8&amp;")"</f>
        <v>P(&lt;15)</v>
      </c>
      <c r="U11" s="90">
        <f>_xlfn.EXPON.DIST(U8,U9,TRUE)</f>
        <v>0.56540179149292169</v>
      </c>
      <c r="V11" s="90">
        <f>_xlfn.EXPON.DIST(V8,V9,TRUE)</f>
        <v>0.22119921692859512</v>
      </c>
      <c r="W11" s="5"/>
      <c r="X11" s="5"/>
      <c r="Y11" s="5"/>
      <c r="Z11" s="5" t="str">
        <f>"P(&lt;"&amp;AA8&amp;")"</f>
        <v>P(&lt;120)</v>
      </c>
      <c r="AA11" s="90">
        <f>_xlfn.EXPON.DIST(AA8,AA9,TRUE)</f>
        <v>0.9987273661986602</v>
      </c>
      <c r="AB11" s="90">
        <f>_xlfn.EXPON.DIST(AB8,AB9,TRUE)</f>
        <v>0.8646647167633873</v>
      </c>
      <c r="AC11" s="5"/>
      <c r="AD11" s="5"/>
      <c r="AE11" s="5" t="str">
        <f>"P(&lt;"&amp;AF8&amp;")"</f>
        <v>P(&lt;30)</v>
      </c>
      <c r="AF11" s="90">
        <f>_xlfn.EXPON.DIST(AF8,AF9,TRUE)</f>
        <v>0.81112439716243812</v>
      </c>
      <c r="AG11" s="90">
        <f>_xlfn.EXPON.DIST(AG8,AG9,TRUE)</f>
        <v>0.39346934028736658</v>
      </c>
      <c r="AK11" s="5"/>
      <c r="AL11" s="5" t="str">
        <f>"P(&lt;"&amp;AM8&amp;")"</f>
        <v>P(&lt;0)</v>
      </c>
      <c r="AM11" s="90">
        <f>_xlfn.EXPON.DIST(AM8,AM9,TRUE)</f>
        <v>0</v>
      </c>
      <c r="AN11" s="90">
        <f>_xlfn.EXPON.DIST(AN8,AN9,TRUE)</f>
        <v>0</v>
      </c>
    </row>
    <row r="12" spans="1:41" x14ac:dyDescent="0.2">
      <c r="S12" s="5"/>
      <c r="T12" s="5" t="str">
        <f>"P(&gt;"&amp;U8&amp;")"</f>
        <v>P(&gt;15)</v>
      </c>
      <c r="U12" s="90">
        <f>1-U11</f>
        <v>0.43459820850707831</v>
      </c>
      <c r="V12" s="90">
        <f>1-V11</f>
        <v>0.77880078307140488</v>
      </c>
      <c r="W12" s="5"/>
      <c r="X12" s="5"/>
      <c r="Y12" s="5"/>
      <c r="Z12" s="5" t="str">
        <f>"P(&gt;"&amp;AA8&amp;")"</f>
        <v>P(&gt;120)</v>
      </c>
      <c r="AA12" s="90">
        <f>1-AA11</f>
        <v>1.2726338013397953E-3</v>
      </c>
      <c r="AB12" s="90">
        <f>1-AB11</f>
        <v>0.1353352832366127</v>
      </c>
      <c r="AC12" s="5"/>
      <c r="AD12" s="5"/>
      <c r="AE12" s="5" t="str">
        <f>"P(&gt;"&amp;AF8&amp;")"</f>
        <v>P(&gt;30)</v>
      </c>
      <c r="AF12" s="90">
        <f>1-AF11</f>
        <v>0.18887560283756188</v>
      </c>
      <c r="AG12" s="90">
        <f>1-AG11</f>
        <v>0.60653065971263342</v>
      </c>
      <c r="AK12" s="5"/>
      <c r="AL12" s="5" t="str">
        <f>"P(&gt;"&amp;AM8&amp;")"</f>
        <v>P(&gt;0)</v>
      </c>
      <c r="AM12" s="90">
        <f>1-AM11</f>
        <v>1</v>
      </c>
      <c r="AN12" s="90">
        <f>1-AN11</f>
        <v>1</v>
      </c>
    </row>
    <row r="13" spans="1:41" x14ac:dyDescent="0.2">
      <c r="S13" s="5"/>
      <c r="T13" s="5"/>
      <c r="U13" s="5"/>
      <c r="V13" s="5"/>
      <c r="W13" s="5"/>
      <c r="X13" s="5"/>
      <c r="Y13" s="5"/>
      <c r="Z13" s="5"/>
      <c r="AA13" s="5"/>
      <c r="AB13" s="5"/>
      <c r="AC13" s="5"/>
      <c r="AD13" s="5"/>
      <c r="AE13" s="5"/>
      <c r="AF13" s="5"/>
      <c r="AG13" s="5"/>
      <c r="AK13" s="5"/>
      <c r="AL13" s="5"/>
      <c r="AM13" s="5"/>
      <c r="AN13" s="5"/>
    </row>
    <row r="14" spans="1:41" x14ac:dyDescent="0.2">
      <c r="S14" s="5"/>
      <c r="T14" s="5"/>
      <c r="U14" s="5" t="s">
        <v>239</v>
      </c>
      <c r="V14" s="5" t="s">
        <v>240</v>
      </c>
      <c r="W14" s="5"/>
      <c r="X14" s="5"/>
      <c r="Y14" s="5"/>
      <c r="Z14" s="5"/>
      <c r="AA14" s="5" t="s">
        <v>239</v>
      </c>
      <c r="AB14" s="5" t="s">
        <v>240</v>
      </c>
      <c r="AC14" s="5"/>
      <c r="AD14" s="5"/>
      <c r="AE14" s="5"/>
      <c r="AF14" s="5" t="s">
        <v>239</v>
      </c>
      <c r="AG14" s="5" t="s">
        <v>240</v>
      </c>
      <c r="AK14" s="5"/>
      <c r="AL14" s="5"/>
      <c r="AM14" s="5" t="s">
        <v>239</v>
      </c>
      <c r="AN14" s="5" t="s">
        <v>240</v>
      </c>
    </row>
    <row r="15" spans="1:41" x14ac:dyDescent="0.2">
      <c r="S15" s="5" t="s">
        <v>53</v>
      </c>
      <c r="T15" s="5" t="s">
        <v>53</v>
      </c>
      <c r="U15" s="89">
        <f>0.3*60</f>
        <v>18</v>
      </c>
      <c r="V15" s="89">
        <f>1*60</f>
        <v>60</v>
      </c>
      <c r="W15" s="5"/>
      <c r="X15" s="5"/>
      <c r="Y15" s="5" t="s">
        <v>53</v>
      </c>
      <c r="Z15" s="5" t="s">
        <v>53</v>
      </c>
      <c r="AA15" s="89">
        <f>0.3*60</f>
        <v>18</v>
      </c>
      <c r="AB15" s="89">
        <f>1*60</f>
        <v>60</v>
      </c>
      <c r="AC15" s="5"/>
      <c r="AD15" s="5" t="s">
        <v>53</v>
      </c>
      <c r="AE15" s="5" t="s">
        <v>53</v>
      </c>
      <c r="AF15" s="89">
        <f>0.3*60</f>
        <v>18</v>
      </c>
      <c r="AG15" s="89">
        <f>1*60</f>
        <v>60</v>
      </c>
      <c r="AK15" s="5" t="s">
        <v>53</v>
      </c>
      <c r="AL15" s="5" t="s">
        <v>53</v>
      </c>
      <c r="AM15" s="89">
        <f>0.3*60</f>
        <v>18</v>
      </c>
      <c r="AN15" s="89">
        <f>1*60</f>
        <v>60</v>
      </c>
    </row>
    <row r="16" spans="1:41" x14ac:dyDescent="0.2">
      <c r="S16" s="5" t="s">
        <v>3</v>
      </c>
      <c r="T16" s="5"/>
      <c r="U16" s="89">
        <v>0</v>
      </c>
      <c r="V16" s="89">
        <v>0</v>
      </c>
      <c r="W16" s="5"/>
      <c r="X16" s="5"/>
      <c r="Y16" s="5" t="s">
        <v>3</v>
      </c>
      <c r="Z16" s="5"/>
      <c r="AA16" s="89">
        <v>0</v>
      </c>
      <c r="AB16" s="89">
        <v>0</v>
      </c>
      <c r="AC16" s="5"/>
      <c r="AD16" s="5" t="s">
        <v>3</v>
      </c>
      <c r="AE16" s="5"/>
      <c r="AF16" s="89">
        <v>90</v>
      </c>
      <c r="AG16" s="89">
        <v>90</v>
      </c>
      <c r="AK16" s="5" t="s">
        <v>3</v>
      </c>
      <c r="AL16" s="5"/>
      <c r="AM16" s="89">
        <v>90</v>
      </c>
      <c r="AN16" s="89">
        <v>90</v>
      </c>
    </row>
    <row r="17" spans="18:40" x14ac:dyDescent="0.2">
      <c r="S17" s="5" t="s">
        <v>245</v>
      </c>
      <c r="T17" s="5" t="s">
        <v>244</v>
      </c>
      <c r="U17" s="90">
        <f>1/U15</f>
        <v>5.5555555555555552E-2</v>
      </c>
      <c r="V17" s="90">
        <f>1/V15</f>
        <v>1.6666666666666666E-2</v>
      </c>
      <c r="W17" s="5"/>
      <c r="X17" s="5"/>
      <c r="Y17" s="5" t="s">
        <v>245</v>
      </c>
      <c r="Z17" s="5" t="s">
        <v>244</v>
      </c>
      <c r="AA17" s="90">
        <f>1/AA15</f>
        <v>5.5555555555555552E-2</v>
      </c>
      <c r="AB17" s="90">
        <f>1/AB15</f>
        <v>1.6666666666666666E-2</v>
      </c>
      <c r="AC17" s="5"/>
      <c r="AD17" s="5" t="s">
        <v>245</v>
      </c>
      <c r="AE17" s="5" t="s">
        <v>244</v>
      </c>
      <c r="AF17" s="90">
        <f>1/AF15</f>
        <v>5.5555555555555552E-2</v>
      </c>
      <c r="AG17" s="90">
        <f>1/AG15</f>
        <v>1.6666666666666666E-2</v>
      </c>
      <c r="AK17" s="5" t="s">
        <v>245</v>
      </c>
      <c r="AL17" s="5" t="s">
        <v>244</v>
      </c>
      <c r="AM17" s="90">
        <f>1/AM15</f>
        <v>5.5555555555555552E-2</v>
      </c>
      <c r="AN17" s="90">
        <f>1/AN15</f>
        <v>1.6666666666666666E-2</v>
      </c>
    </row>
    <row r="18" spans="18:40" x14ac:dyDescent="0.2">
      <c r="S18" s="5"/>
      <c r="T18" s="5"/>
      <c r="U18" s="90">
        <f>1-(EXP(1)^(-U17*U16))</f>
        <v>0</v>
      </c>
      <c r="V18" s="90">
        <f>1-(EXP(1)^(-V17*V16))</f>
        <v>0</v>
      </c>
      <c r="W18" s="5"/>
      <c r="X18" s="5"/>
      <c r="Y18" s="5"/>
      <c r="Z18" s="5"/>
      <c r="AA18" s="90">
        <f>1-(EXP(1)^(-AA17*AA16))</f>
        <v>0</v>
      </c>
      <c r="AB18" s="90">
        <f>1-(EXP(1)^(-AB17*AB16))</f>
        <v>0</v>
      </c>
      <c r="AC18" s="5"/>
      <c r="AD18" s="5"/>
      <c r="AE18" s="5"/>
      <c r="AF18" s="90">
        <f>1-(EXP(1)^(-AF17*AF16))</f>
        <v>0.99326205300091452</v>
      </c>
      <c r="AG18" s="90">
        <f>1-(EXP(1)^(-AG17*AG16))</f>
        <v>0.7768698398515701</v>
      </c>
      <c r="AK18" s="5"/>
      <c r="AL18" s="5"/>
      <c r="AM18" s="90">
        <f>1-(EXP(1)^(-AM17*AM16))</f>
        <v>0.99326205300091452</v>
      </c>
      <c r="AN18" s="90">
        <f>1-(EXP(1)^(-AN17*AN16))</f>
        <v>0.7768698398515701</v>
      </c>
    </row>
    <row r="19" spans="18:40" x14ac:dyDescent="0.2">
      <c r="S19" s="5"/>
      <c r="T19" s="5" t="str">
        <f>"P(&lt;"&amp;U16&amp;")"</f>
        <v>P(&lt;0)</v>
      </c>
      <c r="U19" s="90">
        <f>_xlfn.EXPON.DIST(U16,U17,TRUE)</f>
        <v>0</v>
      </c>
      <c r="V19" s="90">
        <f>_xlfn.EXPON.DIST(V16,V17,TRUE)</f>
        <v>0</v>
      </c>
      <c r="W19" s="5"/>
      <c r="X19" s="5"/>
      <c r="Y19" s="5"/>
      <c r="Z19" s="5" t="str">
        <f>"P(&lt;"&amp;AA16&amp;")"</f>
        <v>P(&lt;0)</v>
      </c>
      <c r="AA19" s="90">
        <f>_xlfn.EXPON.DIST(AA16,AA17,TRUE)</f>
        <v>0</v>
      </c>
      <c r="AB19" s="90">
        <f>_xlfn.EXPON.DIST(AB16,AB17,TRUE)</f>
        <v>0</v>
      </c>
      <c r="AC19" s="5"/>
      <c r="AD19" s="5"/>
      <c r="AE19" s="5" t="str">
        <f>"P(&lt;"&amp;AF16&amp;")"</f>
        <v>P(&lt;90)</v>
      </c>
      <c r="AF19" s="90">
        <f>_xlfn.EXPON.DIST(AF16,AF17,TRUE)</f>
        <v>0.99326205300091452</v>
      </c>
      <c r="AG19" s="90">
        <f>_xlfn.EXPON.DIST(AG16,AG17,TRUE)</f>
        <v>0.77686983985157021</v>
      </c>
      <c r="AK19" s="5"/>
      <c r="AL19" s="5" t="str">
        <f>"P(&lt;"&amp;AM16&amp;")"</f>
        <v>P(&lt;90)</v>
      </c>
      <c r="AM19" s="90">
        <f>_xlfn.EXPON.DIST(AM16,AM17,TRUE)</f>
        <v>0.99326205300091452</v>
      </c>
      <c r="AN19" s="90">
        <f>_xlfn.EXPON.DIST(AN16,AN17,TRUE)</f>
        <v>0.77686983985157021</v>
      </c>
    </row>
    <row r="20" spans="18:40" x14ac:dyDescent="0.2">
      <c r="S20" s="5"/>
      <c r="T20" s="5" t="str">
        <f>"P(&gt;"&amp;U16&amp;")"</f>
        <v>P(&gt;0)</v>
      </c>
      <c r="U20" s="90">
        <f>1-U19</f>
        <v>1</v>
      </c>
      <c r="V20" s="90">
        <f>1-V19</f>
        <v>1</v>
      </c>
      <c r="W20" s="5"/>
      <c r="X20" s="5"/>
      <c r="Y20" s="5"/>
      <c r="Z20" s="5" t="str">
        <f>"P(&gt;"&amp;AA16&amp;")"</f>
        <v>P(&gt;0)</v>
      </c>
      <c r="AA20" s="90">
        <f>1-AA19</f>
        <v>1</v>
      </c>
      <c r="AB20" s="90">
        <f>1-AB19</f>
        <v>1</v>
      </c>
      <c r="AC20" s="5"/>
      <c r="AD20" s="5"/>
      <c r="AE20" s="5" t="str">
        <f>"P(&gt;"&amp;AF16&amp;")"</f>
        <v>P(&gt;90)</v>
      </c>
      <c r="AF20" s="90">
        <f>1-AF19</f>
        <v>6.7379469990854757E-3</v>
      </c>
      <c r="AG20" s="90">
        <f>1-AG19</f>
        <v>0.22313016014842979</v>
      </c>
      <c r="AK20" s="5"/>
      <c r="AL20" s="5" t="str">
        <f>"P(&gt;"&amp;AM16&amp;")"</f>
        <v>P(&gt;90)</v>
      </c>
      <c r="AM20" s="90">
        <f>1-AM19</f>
        <v>6.7379469990854757E-3</v>
      </c>
      <c r="AN20" s="90">
        <f>1-AN19</f>
        <v>0.22313016014842979</v>
      </c>
    </row>
    <row r="21" spans="18:40" x14ac:dyDescent="0.2">
      <c r="S21" s="5"/>
      <c r="T21" s="5"/>
      <c r="U21" s="5"/>
      <c r="V21" s="5"/>
      <c r="W21" s="5"/>
      <c r="X21" s="5"/>
      <c r="Y21" s="5"/>
      <c r="Z21" s="5"/>
      <c r="AA21" s="5"/>
      <c r="AB21" s="5"/>
      <c r="AC21" s="5"/>
      <c r="AD21" s="5"/>
      <c r="AE21" s="5"/>
      <c r="AF21" s="5"/>
      <c r="AG21" s="5"/>
      <c r="AK21" s="5"/>
      <c r="AL21" s="5"/>
      <c r="AM21" s="5"/>
      <c r="AN21" s="5"/>
    </row>
    <row r="22" spans="18:40" x14ac:dyDescent="0.2">
      <c r="S22" s="5"/>
      <c r="T22" s="5" t="str">
        <f>"P("&amp;U8&amp;" &lt; x &lt; "&amp;U16&amp;")"</f>
        <v>P(15 &lt; x &lt; 0)</v>
      </c>
      <c r="U22" s="90">
        <f>1-U11-U20</f>
        <v>-0.56540179149292169</v>
      </c>
      <c r="V22" s="90">
        <f>1-V11-V20</f>
        <v>-0.22119921692859512</v>
      </c>
      <c r="W22" s="5"/>
      <c r="X22" s="5"/>
      <c r="Y22" s="5"/>
      <c r="Z22" s="5" t="str">
        <f>"P("&amp;AA8&amp;" &lt; x &lt; "&amp;AA16&amp;")"</f>
        <v>P(120 &lt; x &lt; 0)</v>
      </c>
      <c r="AA22" s="90">
        <f>1-AA11-AA20</f>
        <v>-0.9987273661986602</v>
      </c>
      <c r="AB22" s="90">
        <f>1-AB11-AB20</f>
        <v>-0.8646647167633873</v>
      </c>
      <c r="AC22" s="5"/>
      <c r="AD22" s="5"/>
      <c r="AE22" s="5" t="str">
        <f>"P("&amp;AF8&amp;" &lt; x &lt; "&amp;AF16&amp;")"</f>
        <v>P(30 &lt; x &lt; 90)</v>
      </c>
      <c r="AF22" s="90">
        <f>1-AF11-AF20</f>
        <v>0.18213765583847641</v>
      </c>
      <c r="AG22" s="90">
        <f>1-AG11-AG20</f>
        <v>0.38340049956420363</v>
      </c>
      <c r="AK22" s="5"/>
      <c r="AL22" s="5" t="str">
        <f>"P("&amp;AM8&amp;" &lt; x &lt; "&amp;AM16&amp;")"</f>
        <v>P(0 &lt; x &lt; 90)</v>
      </c>
      <c r="AM22" s="90">
        <f>1-AM11-AM20</f>
        <v>0.99326205300091452</v>
      </c>
      <c r="AN22" s="90">
        <f>1-AN11-AN20</f>
        <v>0.77686983985157021</v>
      </c>
    </row>
    <row r="24" spans="18:40" x14ac:dyDescent="0.2">
      <c r="S24" t="s">
        <v>246</v>
      </c>
      <c r="T24" t="s">
        <v>246</v>
      </c>
      <c r="U24" s="87">
        <v>0</v>
      </c>
      <c r="V24" s="87">
        <v>0</v>
      </c>
      <c r="Y24" t="s">
        <v>246</v>
      </c>
      <c r="Z24" t="s">
        <v>246</v>
      </c>
      <c r="AA24" s="87">
        <v>0</v>
      </c>
      <c r="AB24" s="87">
        <v>0</v>
      </c>
      <c r="AD24" t="s">
        <v>246</v>
      </c>
      <c r="AE24" t="s">
        <v>246</v>
      </c>
      <c r="AF24" s="87">
        <v>0</v>
      </c>
      <c r="AG24" s="87">
        <v>0</v>
      </c>
      <c r="AK24" t="s">
        <v>246</v>
      </c>
      <c r="AL24" t="s">
        <v>246</v>
      </c>
      <c r="AM24" s="87">
        <v>0.2</v>
      </c>
      <c r="AN24" s="87">
        <v>0.2</v>
      </c>
    </row>
    <row r="25" spans="18:40" x14ac:dyDescent="0.2">
      <c r="U25" s="12">
        <f>LN((1-U24))/(-1/U7)</f>
        <v>0</v>
      </c>
      <c r="V25" s="12">
        <f>LN((1-V24))/(-1/V7)</f>
        <v>0</v>
      </c>
      <c r="AA25" s="12">
        <f>LN((1-AA24))/(-1/AA7)</f>
        <v>0</v>
      </c>
      <c r="AB25" s="12">
        <f>LN((1-AB24))/(-1/AB7)</f>
        <v>0</v>
      </c>
      <c r="AF25" s="12">
        <f>LN((1-AF24))/(-1/AF7)</f>
        <v>0</v>
      </c>
      <c r="AG25" s="12">
        <f>LN((1-AG24))/(-1/AG7)</f>
        <v>0</v>
      </c>
      <c r="AM25" s="12">
        <f>LN((1-AM24))/(-1/AM7)</f>
        <v>4.0165839236557748</v>
      </c>
      <c r="AN25" s="12">
        <f>LN((1-AN24))/(-1/AN7)</f>
        <v>13.388613078852583</v>
      </c>
    </row>
    <row r="27" spans="18:40" x14ac:dyDescent="0.2">
      <c r="R27" s="17" t="s">
        <v>270</v>
      </c>
      <c r="W27" s="5"/>
    </row>
    <row r="29" spans="18:40" x14ac:dyDescent="0.2">
      <c r="S29" s="12">
        <f>V38</f>
        <v>0.42624657926256715</v>
      </c>
      <c r="T29" t="s">
        <v>271</v>
      </c>
    </row>
    <row r="30" spans="18:40" x14ac:dyDescent="0.2">
      <c r="S30" s="12">
        <f>V47</f>
        <v>0.10836802322189587</v>
      </c>
      <c r="T30" t="s">
        <v>272</v>
      </c>
    </row>
    <row r="31" spans="18:40" x14ac:dyDescent="0.2">
      <c r="S31" s="12">
        <f>Z49</f>
        <v>0.14031738497034374</v>
      </c>
      <c r="T31" t="s">
        <v>273</v>
      </c>
    </row>
    <row r="32" spans="18:40" x14ac:dyDescent="0.2">
      <c r="S32" s="12">
        <f>Z52</f>
        <v>2.8447339227613098</v>
      </c>
      <c r="T32" t="s">
        <v>274</v>
      </c>
    </row>
    <row r="33" spans="2:26" x14ac:dyDescent="0.2">
      <c r="T33" s="5"/>
      <c r="U33" s="5"/>
      <c r="V33" s="5"/>
    </row>
    <row r="34" spans="2:26" x14ac:dyDescent="0.2">
      <c r="T34" s="5" t="s">
        <v>53</v>
      </c>
      <c r="U34" s="5" t="s">
        <v>4</v>
      </c>
      <c r="V34" s="89">
        <v>27</v>
      </c>
      <c r="X34" s="5" t="s">
        <v>53</v>
      </c>
      <c r="Y34" s="5" t="s">
        <v>4</v>
      </c>
      <c r="Z34" s="89">
        <v>27</v>
      </c>
    </row>
    <row r="35" spans="2:26" x14ac:dyDescent="0.2">
      <c r="T35" s="5" t="s">
        <v>3</v>
      </c>
      <c r="U35" s="5"/>
      <c r="V35" s="89">
        <v>15</v>
      </c>
      <c r="X35" s="5" t="s">
        <v>3</v>
      </c>
      <c r="Y35" s="5"/>
      <c r="Z35" s="89">
        <v>30</v>
      </c>
    </row>
    <row r="36" spans="2:26" x14ac:dyDescent="0.2">
      <c r="T36" s="5" t="s">
        <v>245</v>
      </c>
      <c r="U36" s="5" t="s">
        <v>244</v>
      </c>
      <c r="V36" s="90">
        <f>1/V34</f>
        <v>3.7037037037037035E-2</v>
      </c>
      <c r="X36" s="5" t="s">
        <v>245</v>
      </c>
      <c r="Y36" s="5" t="s">
        <v>244</v>
      </c>
      <c r="Z36" s="90">
        <f>1/Z34</f>
        <v>3.7037037037037035E-2</v>
      </c>
    </row>
    <row r="37" spans="2:26" x14ac:dyDescent="0.2">
      <c r="T37" s="5"/>
      <c r="U37" s="5"/>
      <c r="V37" s="90">
        <f>1-(EXP(1)^(-V36*V35))</f>
        <v>0.42624657926256726</v>
      </c>
      <c r="X37" s="5"/>
      <c r="Y37" s="5"/>
      <c r="Z37" s="90">
        <f>1-(EXP(1)^(-Z36*Z35))</f>
        <v>0.67080701219209438</v>
      </c>
    </row>
    <row r="38" spans="2:26" x14ac:dyDescent="0.2">
      <c r="T38" s="5"/>
      <c r="U38" s="5" t="str">
        <f>"P(&lt;"&amp;V35&amp;")"</f>
        <v>P(&lt;15)</v>
      </c>
      <c r="V38" s="90">
        <f>_xlfn.EXPON.DIST(V35,V36,TRUE)</f>
        <v>0.42624657926256715</v>
      </c>
      <c r="X38" s="5"/>
      <c r="Y38" s="5" t="str">
        <f>"P(&lt;"&amp;Z35&amp;")"</f>
        <v>P(&lt;30)</v>
      </c>
      <c r="Z38" s="90">
        <f>_xlfn.EXPON.DIST(Z35,Z36,TRUE)</f>
        <v>0.67080701219209438</v>
      </c>
    </row>
    <row r="39" spans="2:26" x14ac:dyDescent="0.2">
      <c r="T39" s="5"/>
      <c r="U39" s="5" t="str">
        <f>"P(&gt;"&amp;V35&amp;")"</f>
        <v>P(&gt;15)</v>
      </c>
      <c r="V39" s="90">
        <f>1-V38</f>
        <v>0.57375342073743285</v>
      </c>
      <c r="X39" s="5"/>
      <c r="Y39" s="5" t="str">
        <f>"P(&gt;"&amp;Z35&amp;")"</f>
        <v>P(&gt;30)</v>
      </c>
      <c r="Z39" s="90">
        <f>1-Z38</f>
        <v>0.32919298780790562</v>
      </c>
    </row>
    <row r="40" spans="2:26" x14ac:dyDescent="0.2">
      <c r="T40" s="5"/>
      <c r="U40" s="5"/>
      <c r="V40" s="5"/>
      <c r="X40" s="5"/>
      <c r="Y40" s="5"/>
      <c r="Z40" s="5"/>
    </row>
    <row r="41" spans="2:26" x14ac:dyDescent="0.2">
      <c r="T41" s="5"/>
      <c r="U41" s="5"/>
      <c r="V41" s="5"/>
      <c r="X41" s="5"/>
      <c r="Y41" s="5"/>
      <c r="Z41" s="5"/>
    </row>
    <row r="42" spans="2:26" x14ac:dyDescent="0.2">
      <c r="T42" s="5" t="s">
        <v>53</v>
      </c>
      <c r="U42" s="5" t="s">
        <v>53</v>
      </c>
      <c r="V42" s="89">
        <v>27</v>
      </c>
      <c r="X42" s="5" t="s">
        <v>53</v>
      </c>
      <c r="Y42" s="5" t="s">
        <v>53</v>
      </c>
      <c r="Z42" s="89">
        <v>27</v>
      </c>
    </row>
    <row r="43" spans="2:26" x14ac:dyDescent="0.2">
      <c r="T43" s="5" t="s">
        <v>3</v>
      </c>
      <c r="U43" s="5"/>
      <c r="V43" s="89">
        <v>60</v>
      </c>
      <c r="X43" s="5" t="s">
        <v>3</v>
      </c>
      <c r="Y43" s="5"/>
      <c r="Z43" s="89">
        <v>45</v>
      </c>
    </row>
    <row r="44" spans="2:26" x14ac:dyDescent="0.2">
      <c r="T44" s="5" t="s">
        <v>245</v>
      </c>
      <c r="U44" s="5" t="s">
        <v>244</v>
      </c>
      <c r="V44" s="90">
        <f>1/V42</f>
        <v>3.7037037037037035E-2</v>
      </c>
      <c r="X44" s="5" t="s">
        <v>245</v>
      </c>
      <c r="Y44" s="5" t="s">
        <v>244</v>
      </c>
      <c r="Z44" s="90">
        <f>1/Z42</f>
        <v>3.7037037037037035E-2</v>
      </c>
    </row>
    <row r="45" spans="2:26" x14ac:dyDescent="0.2">
      <c r="T45" s="5"/>
      <c r="U45" s="5"/>
      <c r="V45" s="90">
        <f>1-(EXP(1)^(-V44*V43))</f>
        <v>0.89163197677810413</v>
      </c>
      <c r="X45" s="5"/>
      <c r="Y45" s="5"/>
      <c r="Z45" s="90">
        <f>1-(EXP(1)^(-Z44*Z43))</f>
        <v>0.81112439716243812</v>
      </c>
    </row>
    <row r="46" spans="2:26" x14ac:dyDescent="0.2">
      <c r="T46" s="5"/>
      <c r="U46" s="5" t="str">
        <f>"P(&lt;"&amp;V43&amp;")"</f>
        <v>P(&lt;60)</v>
      </c>
      <c r="V46" s="90">
        <f>_xlfn.EXPON.DIST(V43,V44,TRUE)</f>
        <v>0.89163197677810413</v>
      </c>
      <c r="X46" s="5"/>
      <c r="Y46" s="5" t="str">
        <f>"P(&lt;"&amp;Z43&amp;")"</f>
        <v>P(&lt;45)</v>
      </c>
      <c r="Z46" s="90">
        <f>_xlfn.EXPON.DIST(Z43,Z44,TRUE)</f>
        <v>0.81112439716243812</v>
      </c>
    </row>
    <row r="47" spans="2:26" x14ac:dyDescent="0.2">
      <c r="T47" s="5"/>
      <c r="U47" s="5" t="str">
        <f>"P(&gt;"&amp;V43&amp;")"</f>
        <v>P(&gt;60)</v>
      </c>
      <c r="V47" s="90">
        <f>1-V46</f>
        <v>0.10836802322189587</v>
      </c>
      <c r="X47" s="5"/>
      <c r="Y47" s="5" t="str">
        <f>"P(&gt;"&amp;Z43&amp;")"</f>
        <v>P(&gt;45)</v>
      </c>
      <c r="Z47" s="90">
        <f>1-Z46</f>
        <v>0.18887560283756188</v>
      </c>
    </row>
    <row r="48" spans="2:26" x14ac:dyDescent="0.2">
      <c r="B48" s="5" t="s">
        <v>53</v>
      </c>
      <c r="C48" s="5" t="s">
        <v>4</v>
      </c>
      <c r="D48" s="89">
        <v>27</v>
      </c>
      <c r="T48" s="5"/>
      <c r="U48" s="5"/>
      <c r="V48" s="5"/>
      <c r="X48" s="5"/>
      <c r="Y48" s="5"/>
      <c r="Z48" s="5"/>
    </row>
    <row r="49" spans="2:26" x14ac:dyDescent="0.2">
      <c r="B49" s="5" t="s">
        <v>3</v>
      </c>
      <c r="C49" s="5"/>
      <c r="D49" s="89">
        <v>30</v>
      </c>
      <c r="T49" s="5"/>
      <c r="U49" s="5" t="str">
        <f>"P("&amp;V35&amp;" &lt; x &lt; "&amp;V43&amp;")"</f>
        <v>P(15 &lt; x &lt; 60)</v>
      </c>
      <c r="V49" s="90">
        <f>1-V38-V47</f>
        <v>0.46538539751553698</v>
      </c>
      <c r="X49" s="5"/>
      <c r="Y49" s="5" t="str">
        <f>"P("&amp;Z35&amp;" &lt; x &lt; "&amp;Z43&amp;")"</f>
        <v>P(30 &lt; x &lt; 45)</v>
      </c>
      <c r="Z49" s="90">
        <f>1-Z38-Z47</f>
        <v>0.14031738497034374</v>
      </c>
    </row>
    <row r="50" spans="2:26" x14ac:dyDescent="0.2">
      <c r="B50" s="5" t="s">
        <v>245</v>
      </c>
      <c r="C50" s="5" t="s">
        <v>244</v>
      </c>
      <c r="D50" s="90">
        <f>1/D48</f>
        <v>3.7037037037037035E-2</v>
      </c>
    </row>
    <row r="51" spans="2:26" x14ac:dyDescent="0.2">
      <c r="B51" s="5"/>
      <c r="C51" s="5"/>
      <c r="D51" s="90">
        <f>1-(EXP(1)^(-D50*D49))</f>
        <v>0.67080701219209438</v>
      </c>
      <c r="T51" t="s">
        <v>246</v>
      </c>
      <c r="U51" t="s">
        <v>246</v>
      </c>
      <c r="V51" s="87">
        <v>0</v>
      </c>
      <c r="X51" t="s">
        <v>246</v>
      </c>
      <c r="Y51" t="s">
        <v>246</v>
      </c>
      <c r="Z51" s="87">
        <v>0.1</v>
      </c>
    </row>
    <row r="52" spans="2:26" x14ac:dyDescent="0.2">
      <c r="B52" s="5"/>
      <c r="C52" s="5" t="str">
        <f>"P(&lt;"&amp;D49&amp;")"</f>
        <v>P(&lt;30)</v>
      </c>
      <c r="D52" s="90">
        <f>_xlfn.EXPON.DIST(D49,D50,TRUE)</f>
        <v>0.67080701219209438</v>
      </c>
      <c r="V52" s="12">
        <f>LN((1-V51))/(-1/V34)</f>
        <v>0</v>
      </c>
      <c r="Z52" s="12">
        <f>LN((1-Z51))/(-1/Z34)</f>
        <v>2.8447339227613098</v>
      </c>
    </row>
    <row r="53" spans="2:26" x14ac:dyDescent="0.2">
      <c r="B53" s="5"/>
      <c r="C53" s="5" t="str">
        <f>"P(&gt;"&amp;D49&amp;")"</f>
        <v>P(&gt;30)</v>
      </c>
      <c r="D53" s="90">
        <f>1-D52</f>
        <v>0.32919298780790562</v>
      </c>
    </row>
    <row r="54" spans="2:26" x14ac:dyDescent="0.2">
      <c r="B54" s="5"/>
      <c r="C54" s="5"/>
      <c r="D54" s="5"/>
    </row>
    <row r="55" spans="2:26" x14ac:dyDescent="0.2">
      <c r="B55" s="5"/>
      <c r="C55" s="5"/>
      <c r="D55" s="5"/>
    </row>
    <row r="56" spans="2:26" x14ac:dyDescent="0.2">
      <c r="B56" s="5" t="s">
        <v>53</v>
      </c>
      <c r="C56" s="5" t="s">
        <v>53</v>
      </c>
      <c r="D56" s="89">
        <v>27</v>
      </c>
    </row>
    <row r="57" spans="2:26" x14ac:dyDescent="0.2">
      <c r="B57" s="5" t="s">
        <v>3</v>
      </c>
      <c r="C57" s="5"/>
      <c r="D57" s="89">
        <v>45</v>
      </c>
    </row>
    <row r="58" spans="2:26" x14ac:dyDescent="0.2">
      <c r="B58" s="5" t="s">
        <v>245</v>
      </c>
      <c r="C58" s="5" t="s">
        <v>244</v>
      </c>
      <c r="D58" s="90">
        <f>1/D56</f>
        <v>3.7037037037037035E-2</v>
      </c>
    </row>
    <row r="59" spans="2:26" x14ac:dyDescent="0.2">
      <c r="B59" s="5"/>
      <c r="C59" s="5"/>
      <c r="D59" s="90">
        <f>1-(EXP(1)^(-D58*D57))</f>
        <v>0.81112439716243812</v>
      </c>
    </row>
    <row r="60" spans="2:26" x14ac:dyDescent="0.2">
      <c r="B60" s="5"/>
      <c r="C60" s="5" t="str">
        <f>"P(&lt;"&amp;D57&amp;")"</f>
        <v>P(&lt;45)</v>
      </c>
      <c r="D60" s="90">
        <f>_xlfn.EXPON.DIST(D57,D58,TRUE)</f>
        <v>0.81112439716243812</v>
      </c>
    </row>
    <row r="61" spans="2:26" x14ac:dyDescent="0.2">
      <c r="B61" s="5"/>
      <c r="C61" s="5" t="str">
        <f>"P(&gt;"&amp;D57&amp;")"</f>
        <v>P(&gt;45)</v>
      </c>
      <c r="D61" s="90">
        <f>1-D60</f>
        <v>0.18887560283756188</v>
      </c>
    </row>
    <row r="62" spans="2:26" x14ac:dyDescent="0.2">
      <c r="B62" s="5"/>
      <c r="C62" s="5"/>
      <c r="D62" s="5"/>
    </row>
    <row r="63" spans="2:26" x14ac:dyDescent="0.2">
      <c r="B63" s="5"/>
      <c r="C63" s="5" t="str">
        <f>"P("&amp;D49&amp;" &lt; x &lt; "&amp;D57&amp;")"</f>
        <v>P(30 &lt; x &lt; 45)</v>
      </c>
      <c r="D63" s="90">
        <f>1-D52-D61</f>
        <v>0.14031738497034374</v>
      </c>
    </row>
    <row r="65" spans="2:4" x14ac:dyDescent="0.2">
      <c r="B65" t="s">
        <v>246</v>
      </c>
      <c r="C65" t="s">
        <v>246</v>
      </c>
      <c r="D65" s="87">
        <v>0.1</v>
      </c>
    </row>
    <row r="66" spans="2:4" x14ac:dyDescent="0.2">
      <c r="D66" s="12">
        <f>LN((1-D65))/(-1/D48)</f>
        <v>2.8447339227613098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5318B-5355-431C-AF48-93D91E8BF72D}">
  <dimension ref="A1:AZ280"/>
  <sheetViews>
    <sheetView workbookViewId="0"/>
  </sheetViews>
  <sheetFormatPr defaultRowHeight="12" x14ac:dyDescent="0.2"/>
  <cols>
    <col min="39" max="40" width="9.140625" customWidth="1"/>
  </cols>
  <sheetData>
    <row r="1" spans="1:49" x14ac:dyDescent="0.2">
      <c r="A1" t="s">
        <v>276</v>
      </c>
      <c r="AI1" s="17" t="s">
        <v>289</v>
      </c>
    </row>
    <row r="2" spans="1:49" x14ac:dyDescent="0.2">
      <c r="AJ2" t="s">
        <v>279</v>
      </c>
    </row>
    <row r="3" spans="1:49" x14ac:dyDescent="0.2">
      <c r="AJ3" s="19" t="s">
        <v>282</v>
      </c>
      <c r="AK3" s="19">
        <v>1</v>
      </c>
      <c r="AL3" s="5"/>
      <c r="AM3" s="17" t="s">
        <v>283</v>
      </c>
      <c r="AN3" s="17">
        <v>1</v>
      </c>
      <c r="AO3" s="17">
        <v>2</v>
      </c>
      <c r="AP3" s="17">
        <v>3</v>
      </c>
      <c r="AQ3" s="17">
        <v>4</v>
      </c>
      <c r="AR3" s="17">
        <v>5</v>
      </c>
      <c r="AS3" s="17">
        <v>6</v>
      </c>
      <c r="AT3" s="17">
        <v>7</v>
      </c>
      <c r="AU3" s="17">
        <v>8</v>
      </c>
    </row>
    <row r="4" spans="1:49" x14ac:dyDescent="0.2">
      <c r="AJ4" s="19" t="s">
        <v>212</v>
      </c>
      <c r="AK4">
        <v>12</v>
      </c>
      <c r="AM4" t="s">
        <v>212</v>
      </c>
      <c r="AN4" s="5">
        <v>12</v>
      </c>
      <c r="AO4" s="5">
        <v>12</v>
      </c>
      <c r="AP4" s="5">
        <v>12</v>
      </c>
      <c r="AQ4" s="5">
        <v>12</v>
      </c>
      <c r="AR4" s="5">
        <v>12</v>
      </c>
      <c r="AS4" s="5">
        <v>12</v>
      </c>
      <c r="AT4" s="5">
        <v>12</v>
      </c>
      <c r="AU4" s="5">
        <v>14</v>
      </c>
    </row>
    <row r="5" spans="1:49" x14ac:dyDescent="0.2">
      <c r="AJ5" s="19" t="s">
        <v>213</v>
      </c>
      <c r="AK5">
        <v>12</v>
      </c>
      <c r="AM5" t="s">
        <v>213</v>
      </c>
      <c r="AN5" s="5">
        <v>12</v>
      </c>
      <c r="AO5" s="5">
        <v>12</v>
      </c>
      <c r="AP5" s="5">
        <v>12</v>
      </c>
      <c r="AQ5" s="5">
        <v>14</v>
      </c>
      <c r="AR5" s="5">
        <v>15</v>
      </c>
      <c r="AS5" s="5">
        <v>14</v>
      </c>
      <c r="AT5" s="5">
        <v>15</v>
      </c>
      <c r="AU5" s="5">
        <v>15</v>
      </c>
    </row>
    <row r="6" spans="1:49" x14ac:dyDescent="0.2">
      <c r="AJ6" s="19" t="s">
        <v>214</v>
      </c>
      <c r="AK6">
        <v>14</v>
      </c>
      <c r="AL6" s="5"/>
      <c r="AM6" t="s">
        <v>214</v>
      </c>
      <c r="AN6" s="5">
        <v>14</v>
      </c>
      <c r="AO6" s="5">
        <v>15</v>
      </c>
      <c r="AP6" s="5">
        <v>20</v>
      </c>
      <c r="AQ6" s="5">
        <v>20</v>
      </c>
      <c r="AR6" s="5">
        <v>20</v>
      </c>
      <c r="AS6" s="5">
        <v>20</v>
      </c>
      <c r="AT6" s="5">
        <v>20</v>
      </c>
      <c r="AU6" s="5">
        <v>20</v>
      </c>
    </row>
    <row r="7" spans="1:49" x14ac:dyDescent="0.2">
      <c r="AJ7" s="19" t="s">
        <v>215</v>
      </c>
      <c r="AK7">
        <v>15</v>
      </c>
      <c r="AL7" s="5"/>
      <c r="AM7" t="s">
        <v>53</v>
      </c>
      <c r="AN7" s="90">
        <f>AVERAGE(AN4:AN6)</f>
        <v>12.666666666666666</v>
      </c>
      <c r="AO7" s="90">
        <f t="shared" ref="AO7:AU7" si="0">AVERAGE(AO4:AO6)</f>
        <v>13</v>
      </c>
      <c r="AP7" s="90">
        <f t="shared" si="0"/>
        <v>14.666666666666666</v>
      </c>
      <c r="AQ7" s="90">
        <f t="shared" si="0"/>
        <v>15.333333333333334</v>
      </c>
      <c r="AR7" s="90">
        <f t="shared" si="0"/>
        <v>15.666666666666666</v>
      </c>
      <c r="AS7" s="90">
        <f t="shared" si="0"/>
        <v>15.333333333333334</v>
      </c>
      <c r="AT7" s="90">
        <f t="shared" si="0"/>
        <v>15.666666666666666</v>
      </c>
      <c r="AU7" s="90">
        <f t="shared" si="0"/>
        <v>16.333333333333332</v>
      </c>
      <c r="AV7" s="12">
        <f>AVERAGE(AN7:AU7)</f>
        <v>14.833333333333332</v>
      </c>
    </row>
    <row r="8" spans="1:49" x14ac:dyDescent="0.2">
      <c r="AJ8" s="19" t="s">
        <v>140</v>
      </c>
      <c r="AK8">
        <v>20</v>
      </c>
      <c r="AL8" s="5"/>
      <c r="AM8" t="s">
        <v>54</v>
      </c>
      <c r="AN8" s="90">
        <f>_xlfn.VAR.S(AN4:AN6)</f>
        <v>1.3333333333333335</v>
      </c>
      <c r="AO8" s="90">
        <f t="shared" ref="AO8:AU8" si="1">_xlfn.VAR.S(AO4:AO6)</f>
        <v>3</v>
      </c>
      <c r="AP8" s="90">
        <f t="shared" si="1"/>
        <v>21.333333333333314</v>
      </c>
      <c r="AQ8" s="90">
        <f t="shared" si="1"/>
        <v>17.333333333333314</v>
      </c>
      <c r="AR8" s="90">
        <f t="shared" si="1"/>
        <v>16.333333333333314</v>
      </c>
      <c r="AS8" s="90">
        <f t="shared" si="1"/>
        <v>17.333333333333314</v>
      </c>
      <c r="AT8" s="90">
        <f t="shared" si="1"/>
        <v>16.333333333333314</v>
      </c>
      <c r="AU8" s="90">
        <f t="shared" si="1"/>
        <v>10.333333333333314</v>
      </c>
      <c r="AV8" s="90">
        <f>_xlfn.VAR.P(AN7:AU7)</f>
        <v>1.5277777777777772</v>
      </c>
    </row>
    <row r="9" spans="1:49" x14ac:dyDescent="0.2">
      <c r="AJ9" s="19" t="s">
        <v>53</v>
      </c>
      <c r="AK9" s="12">
        <f>AVERAGE(AK4:AK8)</f>
        <v>14.6</v>
      </c>
      <c r="AL9" s="5"/>
      <c r="AM9" t="s">
        <v>205</v>
      </c>
      <c r="AN9" s="12">
        <f>_xlfn.STDEV.S(AN4:AN6)</f>
        <v>1.1547005383792517</v>
      </c>
      <c r="AO9" s="12">
        <f t="shared" ref="AO9:AU9" si="2">_xlfn.STDEV.S(AO4:AO6)</f>
        <v>1.7320508075688772</v>
      </c>
      <c r="AP9" s="12">
        <f t="shared" si="2"/>
        <v>4.6188021535170041</v>
      </c>
      <c r="AQ9" s="12">
        <f t="shared" si="2"/>
        <v>4.1633319989322635</v>
      </c>
      <c r="AR9" s="12">
        <f t="shared" si="2"/>
        <v>4.0414518843273779</v>
      </c>
      <c r="AS9" s="12">
        <f t="shared" si="2"/>
        <v>4.1633319989322635</v>
      </c>
      <c r="AT9" s="12">
        <f t="shared" si="2"/>
        <v>4.0414518843273779</v>
      </c>
      <c r="AU9" s="12">
        <f t="shared" si="2"/>
        <v>3.2145502536643153</v>
      </c>
      <c r="AV9" s="12">
        <f>_xlfn.STDEV.P(AN7:AU7)</f>
        <v>1.2360330811826103</v>
      </c>
      <c r="AW9" s="12"/>
    </row>
    <row r="10" spans="1:49" x14ac:dyDescent="0.2">
      <c r="AJ10" s="19" t="s">
        <v>54</v>
      </c>
      <c r="AK10" s="12">
        <f>_xlfn.VAR.P(AK4:AK8)</f>
        <v>8.64</v>
      </c>
      <c r="AL10" s="5"/>
      <c r="AM10" s="45" t="s">
        <v>288</v>
      </c>
      <c r="AN10" s="12">
        <f>AN9/AN7</f>
        <v>9.1160568819414617E-2</v>
      </c>
      <c r="AO10" s="12">
        <f t="shared" ref="AO10:AV10" si="3">AO9/AO7</f>
        <v>0.13323467750529824</v>
      </c>
      <c r="AP10" s="12">
        <f t="shared" si="3"/>
        <v>0.31491832864888664</v>
      </c>
      <c r="AQ10" s="12">
        <f t="shared" si="3"/>
        <v>0.27152165210427803</v>
      </c>
      <c r="AR10" s="12">
        <f t="shared" si="3"/>
        <v>0.25796501389323689</v>
      </c>
      <c r="AS10" s="12">
        <f t="shared" si="3"/>
        <v>0.27152165210427803</v>
      </c>
      <c r="AT10" s="12">
        <f t="shared" si="3"/>
        <v>0.25796501389323689</v>
      </c>
      <c r="AU10" s="12">
        <f t="shared" si="3"/>
        <v>0.19680919920393769</v>
      </c>
      <c r="AV10" s="12">
        <f>AV9/AV7</f>
        <v>8.3328072888715313E-2</v>
      </c>
    </row>
    <row r="11" spans="1:49" x14ac:dyDescent="0.2">
      <c r="AJ11" s="19" t="s">
        <v>205</v>
      </c>
      <c r="AK11" s="12">
        <f>_xlfn.STDEV.P(AK4:AK8)</f>
        <v>2.9393876913398138</v>
      </c>
      <c r="AL11" s="5"/>
      <c r="AM11" s="5"/>
      <c r="AP11" s="7"/>
      <c r="AQ11" s="7"/>
      <c r="AR11" s="7"/>
    </row>
    <row r="12" spans="1:49" x14ac:dyDescent="0.2">
      <c r="A12" t="s">
        <v>277</v>
      </c>
      <c r="AJ12" s="19" t="s">
        <v>288</v>
      </c>
      <c r="AK12" s="90">
        <f>AK11/AK9</f>
        <v>0.20132792406437081</v>
      </c>
      <c r="AL12" s="5"/>
      <c r="AO12" s="7"/>
      <c r="AP12" s="7"/>
      <c r="AQ12" s="7"/>
    </row>
    <row r="13" spans="1:49" x14ac:dyDescent="0.2">
      <c r="AQ13" s="7"/>
    </row>
    <row r="14" spans="1:49" x14ac:dyDescent="0.2">
      <c r="AJ14" t="s">
        <v>280</v>
      </c>
      <c r="AK14" s="5"/>
      <c r="AL14" s="5"/>
      <c r="AO14" s="7"/>
      <c r="AP14" s="7"/>
      <c r="AQ14" s="7"/>
    </row>
    <row r="15" spans="1:49" x14ac:dyDescent="0.2">
      <c r="AJ15" s="5"/>
      <c r="AL15" s="5"/>
      <c r="AN15" s="5" t="s">
        <v>284</v>
      </c>
      <c r="AO15" s="12">
        <f>AV7</f>
        <v>14.833333333333332</v>
      </c>
      <c r="AP15" s="7"/>
    </row>
    <row r="16" spans="1:49" x14ac:dyDescent="0.2">
      <c r="AN16" s="5" t="s">
        <v>41</v>
      </c>
      <c r="AO16" s="12">
        <f>AK9</f>
        <v>14.6</v>
      </c>
    </row>
    <row r="18" spans="1:49" x14ac:dyDescent="0.2">
      <c r="AJ18" t="s">
        <v>285</v>
      </c>
    </row>
    <row r="19" spans="1:49" x14ac:dyDescent="0.2">
      <c r="A19" t="s">
        <v>278</v>
      </c>
      <c r="AN19" s="5" t="s">
        <v>286</v>
      </c>
      <c r="AO19" s="12">
        <f>AV10</f>
        <v>8.3328072888715313E-2</v>
      </c>
    </row>
    <row r="20" spans="1:49" x14ac:dyDescent="0.2">
      <c r="AN20" s="5" t="s">
        <v>287</v>
      </c>
      <c r="AO20" s="12">
        <f>AK12</f>
        <v>0.20132792406437081</v>
      </c>
    </row>
    <row r="22" spans="1:49" x14ac:dyDescent="0.2">
      <c r="AI22" s="17" t="s">
        <v>296</v>
      </c>
    </row>
    <row r="23" spans="1:49" x14ac:dyDescent="0.2">
      <c r="AJ23" t="s">
        <v>290</v>
      </c>
    </row>
    <row r="24" spans="1:49" x14ac:dyDescent="0.2">
      <c r="AJ24" t="s">
        <v>291</v>
      </c>
    </row>
    <row r="26" spans="1:49" x14ac:dyDescent="0.2">
      <c r="AJ26" s="17" t="s">
        <v>282</v>
      </c>
      <c r="AK26" s="17"/>
      <c r="AM26" s="19" t="s">
        <v>281</v>
      </c>
      <c r="AN26" s="19" t="s">
        <v>212</v>
      </c>
      <c r="AO26" s="19" t="s">
        <v>213</v>
      </c>
      <c r="AP26" s="19" t="s">
        <v>214</v>
      </c>
      <c r="AQ26" s="19" t="s">
        <v>53</v>
      </c>
      <c r="AR26" s="19" t="s">
        <v>54</v>
      </c>
      <c r="AS26" s="19" t="s">
        <v>205</v>
      </c>
      <c r="AU26" t="s">
        <v>292</v>
      </c>
    </row>
    <row r="27" spans="1:49" x14ac:dyDescent="0.2">
      <c r="AJ27" s="17" t="s">
        <v>298</v>
      </c>
      <c r="AK27" s="17" t="s">
        <v>297</v>
      </c>
      <c r="AM27" s="19">
        <v>1</v>
      </c>
      <c r="AN27" s="5">
        <v>3</v>
      </c>
      <c r="AO27" s="5">
        <v>6</v>
      </c>
      <c r="AP27" s="5">
        <v>3</v>
      </c>
      <c r="AQ27" s="90">
        <f>AVERAGE(AN27:AP27)</f>
        <v>4</v>
      </c>
      <c r="AR27" s="90">
        <f>_xlfn.VAR.S(AN27:AP27)</f>
        <v>3</v>
      </c>
      <c r="AS27" s="90">
        <f>_xlfn.STDEV.S(AN27:AP27)</f>
        <v>1.7320508075688772</v>
      </c>
      <c r="AV27" t="s">
        <v>43</v>
      </c>
      <c r="AW27">
        <f>COUNTA(AJ28:AJ33)</f>
        <v>6</v>
      </c>
    </row>
    <row r="28" spans="1:49" x14ac:dyDescent="0.2">
      <c r="AJ28" t="s">
        <v>299</v>
      </c>
      <c r="AK28">
        <v>3</v>
      </c>
      <c r="AM28" s="19">
        <v>2</v>
      </c>
      <c r="AN28" s="5">
        <v>3</v>
      </c>
      <c r="AO28" s="5">
        <v>6</v>
      </c>
      <c r="AP28" s="5">
        <v>3</v>
      </c>
      <c r="AQ28" s="90">
        <f t="shared" ref="AQ28:AQ46" si="4">AVERAGE(AN28:AP28)</f>
        <v>4</v>
      </c>
      <c r="AR28" s="90">
        <f t="shared" ref="AR28:AR46" si="5">_xlfn.VAR.S(AN28:AP28)</f>
        <v>3</v>
      </c>
      <c r="AS28" s="90">
        <f t="shared" ref="AS28:AS46" si="6">_xlfn.STDEV.S(AN28:AP28)</f>
        <v>1.7320508075688772</v>
      </c>
      <c r="AV28" t="s">
        <v>305</v>
      </c>
      <c r="AW28">
        <v>3</v>
      </c>
    </row>
    <row r="29" spans="1:49" x14ac:dyDescent="0.2">
      <c r="AJ29" t="s">
        <v>300</v>
      </c>
      <c r="AK29">
        <v>6</v>
      </c>
      <c r="AM29" s="19">
        <v>3</v>
      </c>
      <c r="AN29" s="5">
        <v>3</v>
      </c>
      <c r="AO29" s="5">
        <v>6</v>
      </c>
      <c r="AP29" s="5">
        <v>0</v>
      </c>
      <c r="AQ29" s="90">
        <f t="shared" si="4"/>
        <v>3</v>
      </c>
      <c r="AR29" s="90">
        <f t="shared" si="5"/>
        <v>9</v>
      </c>
      <c r="AS29" s="90">
        <f t="shared" si="6"/>
        <v>3</v>
      </c>
      <c r="AV29" t="s">
        <v>306</v>
      </c>
      <c r="AW29">
        <f>FACT(AW27)/(FACT(AW27-AW28)*FACT(AW28))</f>
        <v>20</v>
      </c>
    </row>
    <row r="30" spans="1:49" x14ac:dyDescent="0.2">
      <c r="AJ30" t="s">
        <v>301</v>
      </c>
      <c r="AK30">
        <v>3</v>
      </c>
      <c r="AM30" s="19">
        <v>4</v>
      </c>
      <c r="AN30" s="5">
        <v>3</v>
      </c>
      <c r="AO30" s="5">
        <v>6</v>
      </c>
      <c r="AP30" s="5">
        <v>1</v>
      </c>
      <c r="AQ30" s="90">
        <f t="shared" si="4"/>
        <v>3.3333333333333335</v>
      </c>
      <c r="AR30" s="90">
        <f t="shared" si="5"/>
        <v>6.3333333333333321</v>
      </c>
      <c r="AS30" s="90">
        <f t="shared" si="6"/>
        <v>2.5166114784235831</v>
      </c>
    </row>
    <row r="31" spans="1:49" x14ac:dyDescent="0.2">
      <c r="AJ31" t="s">
        <v>302</v>
      </c>
      <c r="AK31">
        <v>3</v>
      </c>
      <c r="AM31" s="19">
        <v>5</v>
      </c>
      <c r="AN31" s="5">
        <v>3</v>
      </c>
      <c r="AO31" s="5">
        <v>3</v>
      </c>
      <c r="AP31" s="5">
        <v>3</v>
      </c>
      <c r="AQ31" s="90">
        <f t="shared" si="4"/>
        <v>3</v>
      </c>
      <c r="AR31" s="90">
        <f t="shared" si="5"/>
        <v>0</v>
      </c>
      <c r="AS31" s="90">
        <f t="shared" si="6"/>
        <v>0</v>
      </c>
      <c r="AU31" t="s">
        <v>293</v>
      </c>
    </row>
    <row r="32" spans="1:49" x14ac:dyDescent="0.2">
      <c r="AJ32" t="s">
        <v>303</v>
      </c>
      <c r="AK32">
        <v>0</v>
      </c>
      <c r="AM32" s="19">
        <v>6</v>
      </c>
      <c r="AN32" s="5">
        <v>3</v>
      </c>
      <c r="AO32" s="5">
        <v>3</v>
      </c>
      <c r="AP32" s="5">
        <v>0</v>
      </c>
      <c r="AQ32" s="90">
        <f t="shared" si="4"/>
        <v>2</v>
      </c>
      <c r="AR32" s="90">
        <f t="shared" si="5"/>
        <v>3</v>
      </c>
      <c r="AS32" s="90">
        <f t="shared" si="6"/>
        <v>1.7320508075688772</v>
      </c>
      <c r="AV32" t="s">
        <v>308</v>
      </c>
    </row>
    <row r="33" spans="10:52" x14ac:dyDescent="0.2">
      <c r="AJ33" t="s">
        <v>304</v>
      </c>
      <c r="AK33">
        <v>1</v>
      </c>
      <c r="AM33" s="19">
        <v>7</v>
      </c>
      <c r="AN33" s="5">
        <v>3</v>
      </c>
      <c r="AO33" s="5">
        <v>3</v>
      </c>
      <c r="AP33" s="5">
        <v>1</v>
      </c>
      <c r="AQ33" s="90">
        <f t="shared" si="4"/>
        <v>2.3333333333333335</v>
      </c>
      <c r="AR33" s="90">
        <f t="shared" si="5"/>
        <v>1.3333333333333339</v>
      </c>
      <c r="AS33" s="90">
        <f t="shared" si="6"/>
        <v>1.1547005383792517</v>
      </c>
      <c r="AU33" t="s">
        <v>294</v>
      </c>
    </row>
    <row r="34" spans="10:52" x14ac:dyDescent="0.2">
      <c r="AJ34" s="17" t="s">
        <v>53</v>
      </c>
      <c r="AK34" s="12">
        <f>AVERAGE(AK28:AK33)</f>
        <v>2.6666666666666665</v>
      </c>
      <c r="AM34" s="19">
        <v>8</v>
      </c>
      <c r="AN34" s="5">
        <v>3</v>
      </c>
      <c r="AO34" s="5">
        <v>0</v>
      </c>
      <c r="AP34" s="5">
        <v>3</v>
      </c>
      <c r="AQ34" s="90">
        <f t="shared" si="4"/>
        <v>2</v>
      </c>
      <c r="AR34" s="90">
        <f t="shared" si="5"/>
        <v>3</v>
      </c>
      <c r="AS34" s="90">
        <f t="shared" si="6"/>
        <v>1.7320508075688772</v>
      </c>
      <c r="AX34" s="19" t="s">
        <v>307</v>
      </c>
      <c r="AY34" s="12">
        <f>AQ47</f>
        <v>2.666666666666667</v>
      </c>
    </row>
    <row r="35" spans="10:52" x14ac:dyDescent="0.2">
      <c r="AJ35" s="17" t="s">
        <v>54</v>
      </c>
      <c r="AK35" s="12">
        <f>_xlfn.VAR.P(AK28:AK33)</f>
        <v>3.5555555555555554</v>
      </c>
      <c r="AM35" s="19">
        <v>9</v>
      </c>
      <c r="AN35" s="5">
        <v>3</v>
      </c>
      <c r="AO35" s="5">
        <v>3</v>
      </c>
      <c r="AP35" s="5">
        <v>1</v>
      </c>
      <c r="AQ35" s="90">
        <f t="shared" si="4"/>
        <v>2.3333333333333335</v>
      </c>
      <c r="AR35" s="90">
        <f t="shared" si="5"/>
        <v>1.3333333333333339</v>
      </c>
      <c r="AS35" s="90">
        <f t="shared" si="6"/>
        <v>1.1547005383792517</v>
      </c>
      <c r="AX35" s="19" t="s">
        <v>41</v>
      </c>
      <c r="AY35" s="12">
        <f>AK34</f>
        <v>2.6666666666666665</v>
      </c>
    </row>
    <row r="36" spans="10:52" x14ac:dyDescent="0.2">
      <c r="AJ36" s="17" t="s">
        <v>205</v>
      </c>
      <c r="AK36" s="12">
        <f>_xlfn.STDEV.P(AK28:AK33)</f>
        <v>1.8856180831641267</v>
      </c>
      <c r="AM36" s="19">
        <v>10</v>
      </c>
      <c r="AN36" s="5">
        <v>3</v>
      </c>
      <c r="AO36" s="5">
        <v>0</v>
      </c>
      <c r="AP36" s="5">
        <v>1</v>
      </c>
      <c r="AQ36" s="90">
        <f t="shared" si="4"/>
        <v>1.3333333333333333</v>
      </c>
      <c r="AR36" s="90">
        <f t="shared" si="5"/>
        <v>2.3333333333333335</v>
      </c>
      <c r="AS36" s="90">
        <f t="shared" si="6"/>
        <v>1.5275252316519468</v>
      </c>
      <c r="AU36" t="s">
        <v>295</v>
      </c>
    </row>
    <row r="37" spans="10:52" x14ac:dyDescent="0.2">
      <c r="AJ37" s="17" t="s">
        <v>288</v>
      </c>
      <c r="AK37" s="12">
        <f>AK36/AK34</f>
        <v>0.70710678118654757</v>
      </c>
      <c r="AM37" s="19">
        <v>11</v>
      </c>
      <c r="AN37" s="5">
        <v>6</v>
      </c>
      <c r="AO37" s="5">
        <v>3</v>
      </c>
      <c r="AP37" s="5">
        <v>3</v>
      </c>
      <c r="AQ37" s="90">
        <f t="shared" si="4"/>
        <v>4</v>
      </c>
      <c r="AR37" s="90">
        <f t="shared" si="5"/>
        <v>3</v>
      </c>
      <c r="AS37" s="90">
        <f t="shared" si="6"/>
        <v>1.7320508075688772</v>
      </c>
      <c r="AV37" t="s">
        <v>309</v>
      </c>
      <c r="AZ37" t="s">
        <v>310</v>
      </c>
    </row>
    <row r="38" spans="10:52" x14ac:dyDescent="0.2">
      <c r="AM38" s="19">
        <v>12</v>
      </c>
      <c r="AN38" s="5">
        <v>6</v>
      </c>
      <c r="AO38" s="5">
        <v>3</v>
      </c>
      <c r="AP38" s="5">
        <v>0</v>
      </c>
      <c r="AQ38" s="90">
        <f t="shared" si="4"/>
        <v>3</v>
      </c>
      <c r="AR38" s="90">
        <f t="shared" si="5"/>
        <v>9</v>
      </c>
      <c r="AS38" s="90">
        <f t="shared" si="6"/>
        <v>3</v>
      </c>
    </row>
    <row r="39" spans="10:52" x14ac:dyDescent="0.2">
      <c r="AM39" s="19">
        <v>13</v>
      </c>
      <c r="AN39" s="5">
        <v>6</v>
      </c>
      <c r="AO39" s="5">
        <v>3</v>
      </c>
      <c r="AP39" s="5">
        <v>1</v>
      </c>
      <c r="AQ39" s="90">
        <f t="shared" si="4"/>
        <v>3.3333333333333335</v>
      </c>
      <c r="AR39" s="90">
        <f t="shared" si="5"/>
        <v>6.3333333333333321</v>
      </c>
      <c r="AS39" s="90">
        <f t="shared" si="6"/>
        <v>2.5166114784235831</v>
      </c>
    </row>
    <row r="40" spans="10:52" x14ac:dyDescent="0.2">
      <c r="AM40" s="19">
        <v>14</v>
      </c>
      <c r="AN40" s="5">
        <v>6</v>
      </c>
      <c r="AO40" s="5">
        <v>3</v>
      </c>
      <c r="AP40" s="5">
        <v>0</v>
      </c>
      <c r="AQ40" s="90">
        <f t="shared" si="4"/>
        <v>3</v>
      </c>
      <c r="AR40" s="90">
        <f t="shared" si="5"/>
        <v>9</v>
      </c>
      <c r="AS40" s="90">
        <f t="shared" si="6"/>
        <v>3</v>
      </c>
    </row>
    <row r="41" spans="10:52" x14ac:dyDescent="0.2">
      <c r="J41" s="5" t="s">
        <v>325</v>
      </c>
      <c r="K41" s="98">
        <v>6.5</v>
      </c>
      <c r="L41" s="45" t="s">
        <v>4</v>
      </c>
      <c r="AM41" s="19">
        <v>15</v>
      </c>
      <c r="AN41" s="5">
        <v>6</v>
      </c>
      <c r="AO41" s="5">
        <v>3</v>
      </c>
      <c r="AP41" s="5">
        <v>1</v>
      </c>
      <c r="AQ41" s="90">
        <f t="shared" si="4"/>
        <v>3.3333333333333335</v>
      </c>
      <c r="AR41" s="90">
        <f t="shared" si="5"/>
        <v>6.3333333333333321</v>
      </c>
      <c r="AS41" s="90">
        <f t="shared" si="6"/>
        <v>2.5166114784235831</v>
      </c>
    </row>
    <row r="42" spans="10:52" x14ac:dyDescent="0.2">
      <c r="J42" s="5" t="s">
        <v>324</v>
      </c>
      <c r="K42" s="98">
        <v>2.1</v>
      </c>
      <c r="L42" s="45" t="s">
        <v>5</v>
      </c>
      <c r="AM42" s="19">
        <v>16</v>
      </c>
      <c r="AN42" s="5">
        <v>6</v>
      </c>
      <c r="AO42" s="5">
        <v>0</v>
      </c>
      <c r="AP42" s="5">
        <v>1</v>
      </c>
      <c r="AQ42" s="90">
        <f t="shared" si="4"/>
        <v>2.3333333333333335</v>
      </c>
      <c r="AR42" s="90">
        <f t="shared" si="5"/>
        <v>10.333333333333334</v>
      </c>
      <c r="AS42" s="90">
        <f t="shared" si="6"/>
        <v>3.2145502536643185</v>
      </c>
    </row>
    <row r="43" spans="10:52" x14ac:dyDescent="0.2">
      <c r="J43" s="5" t="s">
        <v>326</v>
      </c>
      <c r="K43" s="87">
        <v>81</v>
      </c>
      <c r="L43" s="45" t="s">
        <v>43</v>
      </c>
      <c r="AM43" s="19">
        <v>17</v>
      </c>
      <c r="AN43" s="5">
        <v>3</v>
      </c>
      <c r="AO43" s="5">
        <v>3</v>
      </c>
      <c r="AP43" s="5">
        <v>0</v>
      </c>
      <c r="AQ43" s="90">
        <f t="shared" si="4"/>
        <v>2</v>
      </c>
      <c r="AR43" s="90">
        <f t="shared" si="5"/>
        <v>3</v>
      </c>
      <c r="AS43" s="90">
        <f t="shared" si="6"/>
        <v>1.7320508075688772</v>
      </c>
    </row>
    <row r="44" spans="10:52" x14ac:dyDescent="0.2">
      <c r="J44" s="5" t="s">
        <v>332</v>
      </c>
      <c r="K44" s="87">
        <v>7</v>
      </c>
      <c r="L44" s="45" t="s">
        <v>329</v>
      </c>
      <c r="AM44" s="19">
        <v>18</v>
      </c>
      <c r="AN44" s="5">
        <v>3</v>
      </c>
      <c r="AO44" s="5">
        <v>3</v>
      </c>
      <c r="AP44" s="5">
        <v>1</v>
      </c>
      <c r="AQ44" s="90">
        <f t="shared" si="4"/>
        <v>2.3333333333333335</v>
      </c>
      <c r="AR44" s="90">
        <f t="shared" si="5"/>
        <v>1.3333333333333339</v>
      </c>
      <c r="AS44" s="90">
        <f t="shared" si="6"/>
        <v>1.1547005383792517</v>
      </c>
    </row>
    <row r="45" spans="10:52" x14ac:dyDescent="0.2">
      <c r="J45" s="5" t="s">
        <v>323</v>
      </c>
      <c r="K45" s="90">
        <f>K42^2</f>
        <v>4.41</v>
      </c>
      <c r="L45" s="45" t="s">
        <v>322</v>
      </c>
      <c r="AM45" s="19">
        <v>19</v>
      </c>
      <c r="AN45" s="5">
        <v>3</v>
      </c>
      <c r="AO45" s="5">
        <v>0</v>
      </c>
      <c r="AP45" s="5">
        <v>1</v>
      </c>
      <c r="AQ45" s="90">
        <f t="shared" si="4"/>
        <v>1.3333333333333333</v>
      </c>
      <c r="AR45" s="90">
        <f t="shared" si="5"/>
        <v>2.3333333333333335</v>
      </c>
      <c r="AS45" s="90">
        <f t="shared" si="6"/>
        <v>1.5275252316519468</v>
      </c>
    </row>
    <row r="46" spans="10:52" x14ac:dyDescent="0.2">
      <c r="J46" s="5" t="s">
        <v>321</v>
      </c>
      <c r="K46" s="12">
        <f>K42/SQRT(K43)</f>
        <v>0.23333333333333334</v>
      </c>
      <c r="L46" s="45" t="s">
        <v>327</v>
      </c>
      <c r="AM46" s="19">
        <v>20</v>
      </c>
      <c r="AN46" s="5">
        <v>3</v>
      </c>
      <c r="AO46" s="5">
        <v>0</v>
      </c>
      <c r="AP46" s="5">
        <v>1</v>
      </c>
      <c r="AQ46" s="90">
        <f t="shared" si="4"/>
        <v>1.3333333333333333</v>
      </c>
      <c r="AR46" s="90">
        <f t="shared" si="5"/>
        <v>2.3333333333333335</v>
      </c>
      <c r="AS46" s="90">
        <f t="shared" si="6"/>
        <v>1.5275252316519468</v>
      </c>
    </row>
    <row r="47" spans="10:52" x14ac:dyDescent="0.2">
      <c r="J47" s="5" t="s">
        <v>229</v>
      </c>
      <c r="K47" s="12">
        <f>(K44-K41)/(K42/SQRT(K43))</f>
        <v>2.1428571428571428</v>
      </c>
      <c r="L47" s="45" t="s">
        <v>330</v>
      </c>
      <c r="AP47" s="19" t="s">
        <v>307</v>
      </c>
      <c r="AQ47" s="12">
        <f>AVERAGE(AQ27:AQ46)</f>
        <v>2.666666666666667</v>
      </c>
    </row>
    <row r="48" spans="10:52" x14ac:dyDescent="0.2">
      <c r="J48" s="5" t="s">
        <v>331</v>
      </c>
      <c r="K48" s="12">
        <f>_xlfn.NORM.S.DIST(K47,TRUE)-0.5</f>
        <v>0.48393771439617173</v>
      </c>
      <c r="L48" s="92" t="s">
        <v>269</v>
      </c>
      <c r="AP48" s="19" t="s">
        <v>54</v>
      </c>
      <c r="AQ48" s="90">
        <f>_xlfn.VAR.P(AQ27:AQ46)</f>
        <v>0.71111111111110969</v>
      </c>
    </row>
    <row r="49" spans="10:43" x14ac:dyDescent="0.2">
      <c r="J49" s="5" t="str">
        <f>"P("&amp;MIN(K41,K44)&amp;"&lt;=x&lt;="&amp;MAX(K41,K44)&amp;")"</f>
        <v>P(6.5&lt;=x&lt;=7)</v>
      </c>
      <c r="K49" s="12">
        <f>ABS(K48)</f>
        <v>0.48393771439617173</v>
      </c>
      <c r="AP49" s="19" t="s">
        <v>205</v>
      </c>
      <c r="AQ49" s="12">
        <f>_xlfn.STDEV.P(AQ27:AQ46)</f>
        <v>0.84327404271156703</v>
      </c>
    </row>
    <row r="50" spans="10:43" x14ac:dyDescent="0.2">
      <c r="J50" s="5" t="str">
        <f>"P(&gt;"&amp;K44&amp;")"</f>
        <v>P(&gt;7)</v>
      </c>
      <c r="K50" s="12">
        <f>IF(K48&gt;0,0.5-K49,0.5+K49)</f>
        <v>1.6062285603828275E-2</v>
      </c>
      <c r="AP50" s="19" t="s">
        <v>288</v>
      </c>
      <c r="AQ50" s="12">
        <f>AQ49/AQ47</f>
        <v>0.31622776601683761</v>
      </c>
    </row>
    <row r="51" spans="10:43" x14ac:dyDescent="0.2">
      <c r="J51" s="5" t="str">
        <f>"P(&lt;"&amp;K44&amp;")"</f>
        <v>P(&lt;7)</v>
      </c>
      <c r="K51" s="86">
        <f>1-K50</f>
        <v>0.98393771439617173</v>
      </c>
    </row>
    <row r="52" spans="10:43" x14ac:dyDescent="0.2">
      <c r="AI52" s="17" t="s">
        <v>320</v>
      </c>
    </row>
    <row r="53" spans="10:43" x14ac:dyDescent="0.2">
      <c r="J53" s="5" t="s">
        <v>325</v>
      </c>
      <c r="K53" s="98">
        <f>K41</f>
        <v>6.5</v>
      </c>
      <c r="L53" s="45" t="s">
        <v>4</v>
      </c>
      <c r="AJ53" s="17" t="s">
        <v>311</v>
      </c>
    </row>
    <row r="54" spans="10:43" x14ac:dyDescent="0.2">
      <c r="J54" s="5" t="s">
        <v>324</v>
      </c>
      <c r="K54" s="98">
        <f>K42</f>
        <v>2.1</v>
      </c>
      <c r="L54" s="45" t="s">
        <v>5</v>
      </c>
      <c r="AJ54" s="17" t="s">
        <v>312</v>
      </c>
    </row>
    <row r="55" spans="10:43" x14ac:dyDescent="0.2">
      <c r="J55" s="5" t="s">
        <v>326</v>
      </c>
      <c r="K55" s="87">
        <f>K43</f>
        <v>81</v>
      </c>
      <c r="L55" s="45" t="s">
        <v>43</v>
      </c>
      <c r="AJ55" s="17" t="s">
        <v>313</v>
      </c>
    </row>
    <row r="56" spans="10:43" x14ac:dyDescent="0.2">
      <c r="J56" s="5" t="s">
        <v>333</v>
      </c>
      <c r="K56" s="87">
        <v>6</v>
      </c>
      <c r="L56" s="45" t="s">
        <v>329</v>
      </c>
      <c r="AK56" t="s">
        <v>314</v>
      </c>
    </row>
    <row r="57" spans="10:43" x14ac:dyDescent="0.2">
      <c r="J57" s="5" t="s">
        <v>323</v>
      </c>
      <c r="K57" s="90">
        <f>K54^2</f>
        <v>4.41</v>
      </c>
      <c r="L57" s="45" t="s">
        <v>322</v>
      </c>
      <c r="AJ57" s="12">
        <f>AM68</f>
        <v>1.1000000000000001</v>
      </c>
      <c r="AK57" t="s">
        <v>315</v>
      </c>
    </row>
    <row r="58" spans="10:43" x14ac:dyDescent="0.2">
      <c r="J58" s="5" t="s">
        <v>321</v>
      </c>
      <c r="K58" s="12">
        <f>K54/SQRT(K55)</f>
        <v>0.23333333333333334</v>
      </c>
      <c r="L58" s="45" t="s">
        <v>327</v>
      </c>
      <c r="AJ58" s="12">
        <f>AM72</f>
        <v>0.18165107044344897</v>
      </c>
      <c r="AK58" t="s">
        <v>316</v>
      </c>
    </row>
    <row r="59" spans="10:43" x14ac:dyDescent="0.2">
      <c r="J59" s="5" t="s">
        <v>229</v>
      </c>
      <c r="K59" s="12">
        <f>(K56-K53)/(K54/SQRT(K55))</f>
        <v>-2.1428571428571428</v>
      </c>
      <c r="L59" s="45" t="s">
        <v>330</v>
      </c>
      <c r="AJ59" s="12">
        <f>AM84</f>
        <v>0.67528185813662267</v>
      </c>
      <c r="AK59" t="s">
        <v>317</v>
      </c>
      <c r="AO59" s="5"/>
    </row>
    <row r="60" spans="10:43" x14ac:dyDescent="0.2">
      <c r="J60" s="5" t="s">
        <v>331</v>
      </c>
      <c r="K60" s="12">
        <f>_xlfn.NORM.S.DIST(K59,TRUE)-0.5</f>
        <v>-0.48393771439617167</v>
      </c>
      <c r="L60" s="92" t="s">
        <v>269</v>
      </c>
      <c r="AJ60" s="12">
        <f>AM87</f>
        <v>0.4936307876931737</v>
      </c>
      <c r="AK60" t="s">
        <v>318</v>
      </c>
    </row>
    <row r="61" spans="10:43" x14ac:dyDescent="0.2">
      <c r="J61" s="5" t="str">
        <f>"P("&amp;MIN(K53,K56)&amp;"&lt;=x&lt;="&amp;MAX(K53,K56)&amp;")"</f>
        <v>P(6&lt;=x&lt;=6.5)</v>
      </c>
      <c r="K61" s="12">
        <f>ABS(K60)</f>
        <v>0.48393771439617167</v>
      </c>
      <c r="AJ61" s="12">
        <f>AM98</f>
        <v>0.36330214088689794</v>
      </c>
      <c r="AK61" t="s">
        <v>319</v>
      </c>
    </row>
    <row r="62" spans="10:43" x14ac:dyDescent="0.2">
      <c r="J62" s="5" t="str">
        <f>"P(&gt;"&amp;K56&amp;")"</f>
        <v>P(&gt;6)</v>
      </c>
      <c r="K62" s="12">
        <f>IF(K60&gt;0,0.5-K61,0.5+K61)</f>
        <v>0.98393771439617161</v>
      </c>
    </row>
    <row r="63" spans="10:43" x14ac:dyDescent="0.2">
      <c r="J63" s="5" t="str">
        <f>"P(&lt;"&amp;K56&amp;")"</f>
        <v>P(&lt;6)</v>
      </c>
      <c r="K63" s="12">
        <f>1-K62</f>
        <v>1.6062285603828386E-2</v>
      </c>
      <c r="AL63" s="5" t="s">
        <v>325</v>
      </c>
      <c r="AM63" s="98">
        <v>35</v>
      </c>
      <c r="AN63" s="45" t="s">
        <v>4</v>
      </c>
    </row>
    <row r="64" spans="10:43" x14ac:dyDescent="0.2">
      <c r="AL64" s="5" t="s">
        <v>324</v>
      </c>
      <c r="AM64" s="98">
        <v>5.5</v>
      </c>
      <c r="AN64" s="45" t="s">
        <v>5</v>
      </c>
    </row>
    <row r="65" spans="10:48" x14ac:dyDescent="0.2">
      <c r="J65" s="5" t="str">
        <f>"P("&amp;MIN(K44,K56)&amp;"&lt;=x&lt;="&amp;MAX(K44,K56)&amp;")"</f>
        <v>P(6&lt;=x&lt;=7)</v>
      </c>
      <c r="K65" s="12">
        <f>1-K63-K50</f>
        <v>0.96787542879234334</v>
      </c>
      <c r="AL65" s="5" t="s">
        <v>326</v>
      </c>
      <c r="AM65" s="87">
        <v>25</v>
      </c>
      <c r="AN65" s="45" t="s">
        <v>43</v>
      </c>
    </row>
    <row r="66" spans="10:48" x14ac:dyDescent="0.2">
      <c r="AL66" s="5" t="s">
        <v>332</v>
      </c>
      <c r="AM66" s="87">
        <v>36</v>
      </c>
      <c r="AN66" s="45" t="s">
        <v>329</v>
      </c>
    </row>
    <row r="67" spans="10:48" x14ac:dyDescent="0.2">
      <c r="J67" s="5" t="s">
        <v>338</v>
      </c>
      <c r="K67" s="85">
        <v>0.25</v>
      </c>
      <c r="AL67" s="5" t="s">
        <v>323</v>
      </c>
      <c r="AM67" s="90">
        <f>AM64^2</f>
        <v>30.25</v>
      </c>
      <c r="AN67" s="45" t="s">
        <v>322</v>
      </c>
    </row>
    <row r="68" spans="10:48" x14ac:dyDescent="0.2">
      <c r="J68" s="5" t="s">
        <v>333</v>
      </c>
      <c r="K68" s="12">
        <f>K41-K67</f>
        <v>6.25</v>
      </c>
      <c r="AL68" s="5" t="s">
        <v>321</v>
      </c>
      <c r="AM68" s="12">
        <f>AM64/SQRT(AM65)</f>
        <v>1.1000000000000001</v>
      </c>
      <c r="AN68" s="45" t="s">
        <v>327</v>
      </c>
    </row>
    <row r="69" spans="10:48" x14ac:dyDescent="0.2">
      <c r="J69" s="5" t="s">
        <v>332</v>
      </c>
      <c r="K69" s="12">
        <f>K41+K67</f>
        <v>6.75</v>
      </c>
      <c r="AL69" s="5" t="s">
        <v>229</v>
      </c>
      <c r="AM69" s="12">
        <f>(AM66-AM63)/(AM64/SQRT(AM65))</f>
        <v>0.90909090909090906</v>
      </c>
      <c r="AN69" s="45" t="s">
        <v>330</v>
      </c>
    </row>
    <row r="70" spans="10:48" x14ac:dyDescent="0.2">
      <c r="J70" s="5" t="s">
        <v>334</v>
      </c>
      <c r="K70" s="12">
        <f>(K68-K41)/(K42/SQRT(K43))</f>
        <v>-1.0714285714285714</v>
      </c>
      <c r="AL70" s="5" t="s">
        <v>331</v>
      </c>
      <c r="AM70" s="12">
        <f>_xlfn.NORM.S.DIST(AM69,TRUE)-0.5</f>
        <v>0.31834892955655103</v>
      </c>
      <c r="AN70" s="92" t="s">
        <v>269</v>
      </c>
    </row>
    <row r="71" spans="10:48" x14ac:dyDescent="0.2">
      <c r="J71" s="5" t="s">
        <v>335</v>
      </c>
      <c r="K71" s="12">
        <f>(K69-K41)/(K42/SQRT(K43))</f>
        <v>1.0714285714285714</v>
      </c>
      <c r="AL71" s="5" t="str">
        <f>"P("&amp;MIN(AM63,AM66)&amp;"&lt;=x&lt;="&amp;MAX(AM63,AM66)&amp;")"</f>
        <v>P(35&lt;=x&lt;=36)</v>
      </c>
      <c r="AM71" s="12">
        <f>ABS(AM70)</f>
        <v>0.31834892955655103</v>
      </c>
    </row>
    <row r="72" spans="10:48" x14ac:dyDescent="0.2">
      <c r="J72" s="5" t="s">
        <v>336</v>
      </c>
      <c r="K72" s="12">
        <f>_xlfn.NORM.S.DIST(K70,TRUE)-0.5</f>
        <v>-0.35801161412454413</v>
      </c>
      <c r="L72" s="92" t="s">
        <v>269</v>
      </c>
      <c r="AL72" s="5" t="str">
        <f>"P(&gt;"&amp;AM66&amp;")"</f>
        <v>P(&gt;36)</v>
      </c>
      <c r="AM72" s="12">
        <f>IF(AM70&gt;0,0.5-AM71,0.5+AM71)</f>
        <v>0.18165107044344897</v>
      </c>
    </row>
    <row r="73" spans="10:48" x14ac:dyDescent="0.2">
      <c r="J73" s="5" t="s">
        <v>337</v>
      </c>
      <c r="K73" s="12">
        <f>_xlfn.NORM.S.DIST(K71,TRUE)-0.5</f>
        <v>0.35801161412454419</v>
      </c>
      <c r="L73" s="92" t="s">
        <v>269</v>
      </c>
      <c r="AL73" s="5" t="str">
        <f>"P(&lt;"&amp;AM66&amp;")"</f>
        <v>P(&lt;36)</v>
      </c>
      <c r="AM73" s="12">
        <f>1-AM72</f>
        <v>0.81834892955655103</v>
      </c>
    </row>
    <row r="74" spans="10:48" x14ac:dyDescent="0.2">
      <c r="J74" s="5" t="str">
        <f>"P(x&lt;"&amp;MIN(K53,K68)&amp;")"</f>
        <v>P(x&lt;6.25)</v>
      </c>
      <c r="K74" s="12">
        <f>0.5-ABS(K72)</f>
        <v>0.14198838587545587</v>
      </c>
    </row>
    <row r="75" spans="10:48" x14ac:dyDescent="0.2">
      <c r="J75" s="5" t="str">
        <f>"P(x&gt;"&amp;MAX(K53,K69)&amp;")"</f>
        <v>P(x&gt;6.75)</v>
      </c>
      <c r="K75" s="12">
        <f>0.5-ABS(K73)</f>
        <v>0.14198838587545581</v>
      </c>
      <c r="AL75" s="5" t="s">
        <v>325</v>
      </c>
      <c r="AM75" s="98">
        <v>35</v>
      </c>
      <c r="AN75" s="45" t="s">
        <v>4</v>
      </c>
    </row>
    <row r="76" spans="10:48" x14ac:dyDescent="0.2">
      <c r="J76" s="5" t="str">
        <f>J74&amp;" or "&amp;J75</f>
        <v>P(x&lt;6.25) or P(x&gt;6.75)</v>
      </c>
      <c r="K76" s="12">
        <f>SUM(K74:K75)</f>
        <v>0.28397677175091168</v>
      </c>
      <c r="AL76" s="5" t="s">
        <v>324</v>
      </c>
      <c r="AM76" s="98">
        <v>5.5</v>
      </c>
      <c r="AN76" s="45" t="s">
        <v>5</v>
      </c>
      <c r="AV76" s="92"/>
    </row>
    <row r="77" spans="10:48" x14ac:dyDescent="0.2">
      <c r="J77" s="5" t="str">
        <f>"P("&amp;MIN(K68,K69)&amp;"&lt;=x&lt;="&amp;MAX(K68,K69)&amp;")"</f>
        <v>P(6.25&lt;=x&lt;=6.75)</v>
      </c>
      <c r="K77" s="12">
        <f>1-K76</f>
        <v>0.71602322824908837</v>
      </c>
      <c r="AL77" s="5" t="s">
        <v>326</v>
      </c>
      <c r="AM77" s="87">
        <v>25</v>
      </c>
      <c r="AN77" s="45" t="s">
        <v>43</v>
      </c>
    </row>
    <row r="78" spans="10:48" x14ac:dyDescent="0.2">
      <c r="AL78" s="5" t="s">
        <v>333</v>
      </c>
      <c r="AM78" s="87">
        <v>34.5</v>
      </c>
      <c r="AN78" s="45" t="s">
        <v>329</v>
      </c>
    </row>
    <row r="79" spans="10:48" x14ac:dyDescent="0.2">
      <c r="AL79" s="5" t="s">
        <v>323</v>
      </c>
      <c r="AM79" s="90">
        <f>AM76^2</f>
        <v>30.25</v>
      </c>
      <c r="AN79" s="45" t="s">
        <v>322</v>
      </c>
    </row>
    <row r="80" spans="10:48" x14ac:dyDescent="0.2">
      <c r="AL80" s="5" t="s">
        <v>321</v>
      </c>
      <c r="AM80" s="12">
        <f>AM76/SQRT(AM77)</f>
        <v>1.1000000000000001</v>
      </c>
      <c r="AN80" s="45" t="s">
        <v>327</v>
      </c>
    </row>
    <row r="81" spans="38:40" x14ac:dyDescent="0.2">
      <c r="AL81" s="5" t="s">
        <v>229</v>
      </c>
      <c r="AM81" s="12">
        <f>(AM78-AM75)/(AM76/SQRT(AM77))</f>
        <v>-0.45454545454545453</v>
      </c>
      <c r="AN81" s="45" t="s">
        <v>330</v>
      </c>
    </row>
    <row r="82" spans="38:40" x14ac:dyDescent="0.2">
      <c r="AL82" s="5" t="s">
        <v>331</v>
      </c>
      <c r="AM82" s="12">
        <f>_xlfn.NORM.S.DIST(AM81,TRUE)-0.5</f>
        <v>-0.17528185813662267</v>
      </c>
      <c r="AN82" s="92" t="s">
        <v>269</v>
      </c>
    </row>
    <row r="83" spans="38:40" x14ac:dyDescent="0.2">
      <c r="AL83" s="5" t="str">
        <f>"P("&amp;MIN(AM75,AM78)&amp;"&lt;=x&lt;="&amp;MAX(AM75,AM78)&amp;")"</f>
        <v>P(34.5&lt;=x&lt;=35)</v>
      </c>
      <c r="AM83" s="12">
        <f>ABS(AM82)</f>
        <v>0.17528185813662267</v>
      </c>
    </row>
    <row r="84" spans="38:40" x14ac:dyDescent="0.2">
      <c r="AL84" s="5" t="str">
        <f>"P(&gt;"&amp;AM78&amp;")"</f>
        <v>P(&gt;34.5)</v>
      </c>
      <c r="AM84" s="12">
        <f>IF(AM82&gt;0,0.5-AM83,0.5+AM83)</f>
        <v>0.67528185813662267</v>
      </c>
    </row>
    <row r="85" spans="38:40" x14ac:dyDescent="0.2">
      <c r="AL85" s="5" t="str">
        <f>"P(&lt;"&amp;AM78&amp;")"</f>
        <v>P(&lt;34.5)</v>
      </c>
      <c r="AM85" s="12">
        <f>1-AM84</f>
        <v>0.32471814186337733</v>
      </c>
    </row>
    <row r="87" spans="38:40" x14ac:dyDescent="0.2">
      <c r="AL87" s="5" t="str">
        <f>"P("&amp;MIN(AM66,AM78)&amp;"&lt;=x&lt;="&amp;MAX(AM66,AM78)&amp;")"</f>
        <v>P(34.5&lt;=x&lt;=36)</v>
      </c>
      <c r="AM87" s="12">
        <f>1-AM85-AM72</f>
        <v>0.4936307876931737</v>
      </c>
    </row>
    <row r="89" spans="38:40" x14ac:dyDescent="0.2">
      <c r="AL89" s="5" t="s">
        <v>338</v>
      </c>
      <c r="AM89" s="85">
        <v>1</v>
      </c>
    </row>
    <row r="90" spans="38:40" x14ac:dyDescent="0.2">
      <c r="AL90" s="5" t="s">
        <v>333</v>
      </c>
      <c r="AM90" s="12">
        <f>AM63-AM89</f>
        <v>34</v>
      </c>
    </row>
    <row r="91" spans="38:40" x14ac:dyDescent="0.2">
      <c r="AL91" s="5" t="s">
        <v>332</v>
      </c>
      <c r="AM91" s="12">
        <f>AM63+AM89</f>
        <v>36</v>
      </c>
    </row>
    <row r="92" spans="38:40" x14ac:dyDescent="0.2">
      <c r="AL92" s="5" t="s">
        <v>334</v>
      </c>
      <c r="AM92" s="12">
        <f>(AM90-AM63)/(AM64/SQRT(AM65))</f>
        <v>-0.90909090909090906</v>
      </c>
    </row>
    <row r="93" spans="38:40" x14ac:dyDescent="0.2">
      <c r="AL93" s="5" t="s">
        <v>335</v>
      </c>
      <c r="AM93" s="12">
        <f>(AM91-AM63)/(AM64/SQRT(AM65))</f>
        <v>0.90909090909090906</v>
      </c>
    </row>
    <row r="94" spans="38:40" x14ac:dyDescent="0.2">
      <c r="AL94" s="5" t="s">
        <v>336</v>
      </c>
      <c r="AM94" s="12">
        <f>_xlfn.NORM.S.DIST(AM92,TRUE)-0.5</f>
        <v>-0.31834892955655103</v>
      </c>
      <c r="AN94" s="92" t="s">
        <v>269</v>
      </c>
    </row>
    <row r="95" spans="38:40" x14ac:dyDescent="0.2">
      <c r="AL95" s="5" t="s">
        <v>337</v>
      </c>
      <c r="AM95" s="12">
        <f>_xlfn.NORM.S.DIST(AM93,TRUE)-0.5</f>
        <v>0.31834892955655103</v>
      </c>
      <c r="AN95" s="92" t="s">
        <v>269</v>
      </c>
    </row>
    <row r="96" spans="38:40" x14ac:dyDescent="0.2">
      <c r="AL96" s="5" t="str">
        <f>"P(x&lt;"&amp;MIN(AM75,AM90)&amp;")"</f>
        <v>P(x&lt;34)</v>
      </c>
      <c r="AM96" s="12">
        <f>0.5-ABS(AM94)</f>
        <v>0.18165107044344897</v>
      </c>
    </row>
    <row r="97" spans="35:40" x14ac:dyDescent="0.2">
      <c r="AL97" s="5" t="str">
        <f>"P(x&gt;"&amp;MAX(AM75,AM91)&amp;")"</f>
        <v>P(x&gt;36)</v>
      </c>
      <c r="AM97" s="12">
        <f>0.5-ABS(AM95)</f>
        <v>0.18165107044344897</v>
      </c>
    </row>
    <row r="98" spans="35:40" x14ac:dyDescent="0.2">
      <c r="AL98" s="5" t="str">
        <f>AL96&amp;" or "&amp;AL97</f>
        <v>P(x&lt;34) or P(x&gt;36)</v>
      </c>
      <c r="AM98" s="12">
        <f>SUM(AM96:AM97)</f>
        <v>0.36330214088689794</v>
      </c>
    </row>
    <row r="99" spans="35:40" x14ac:dyDescent="0.2">
      <c r="AL99" s="5" t="str">
        <f>"P("&amp;MIN(AM90,AM91)&amp;"&lt;=x&lt;="&amp;MAX(AM90,AM91)&amp;")"</f>
        <v>P(34&lt;=x&lt;=36)</v>
      </c>
      <c r="AM99" s="12">
        <f>1-AM98</f>
        <v>0.63669785911310206</v>
      </c>
    </row>
    <row r="100" spans="35:40" x14ac:dyDescent="0.2">
      <c r="AL100" s="5"/>
      <c r="AM100" s="12"/>
    </row>
    <row r="101" spans="35:40" x14ac:dyDescent="0.2">
      <c r="AI101" s="17" t="s">
        <v>343</v>
      </c>
    </row>
    <row r="102" spans="35:40" x14ac:dyDescent="0.2">
      <c r="AJ102" s="17" t="s">
        <v>339</v>
      </c>
    </row>
    <row r="103" spans="35:40" x14ac:dyDescent="0.2">
      <c r="AJ103" s="17" t="s">
        <v>340</v>
      </c>
    </row>
    <row r="104" spans="35:40" x14ac:dyDescent="0.2">
      <c r="AJ104" s="17" t="s">
        <v>341</v>
      </c>
    </row>
    <row r="105" spans="35:40" x14ac:dyDescent="0.2">
      <c r="AJ105" s="17" t="s">
        <v>342</v>
      </c>
    </row>
    <row r="107" spans="35:40" x14ac:dyDescent="0.2">
      <c r="AJ107" t="s">
        <v>344</v>
      </c>
    </row>
    <row r="108" spans="35:40" x14ac:dyDescent="0.2">
      <c r="AL108" s="5" t="s">
        <v>325</v>
      </c>
      <c r="AM108" s="98">
        <v>350</v>
      </c>
      <c r="AN108" s="45" t="s">
        <v>4</v>
      </c>
    </row>
    <row r="109" spans="35:40" x14ac:dyDescent="0.2">
      <c r="AL109" s="5" t="s">
        <v>324</v>
      </c>
      <c r="AM109" s="98">
        <v>45</v>
      </c>
      <c r="AN109" s="45" t="s">
        <v>5</v>
      </c>
    </row>
    <row r="110" spans="35:40" x14ac:dyDescent="0.2">
      <c r="AL110" s="5" t="s">
        <v>326</v>
      </c>
      <c r="AM110" s="87">
        <v>40</v>
      </c>
      <c r="AN110" s="45" t="s">
        <v>43</v>
      </c>
    </row>
    <row r="111" spans="35:40" x14ac:dyDescent="0.2">
      <c r="AL111" s="5" t="s">
        <v>332</v>
      </c>
      <c r="AM111" s="87">
        <v>335</v>
      </c>
      <c r="AN111" s="45" t="s">
        <v>329</v>
      </c>
    </row>
    <row r="112" spans="35:40" x14ac:dyDescent="0.2">
      <c r="AL112" s="5" t="s">
        <v>323</v>
      </c>
      <c r="AM112" s="90">
        <f>AM109^2</f>
        <v>2025</v>
      </c>
      <c r="AN112" s="45" t="s">
        <v>322</v>
      </c>
    </row>
    <row r="113" spans="38:40" x14ac:dyDescent="0.2">
      <c r="AL113" s="5" t="s">
        <v>321</v>
      </c>
      <c r="AM113" s="12">
        <f>AM109/SQRT(AM110)</f>
        <v>7.1151247353788527</v>
      </c>
      <c r="AN113" s="45" t="s">
        <v>327</v>
      </c>
    </row>
    <row r="114" spans="38:40" x14ac:dyDescent="0.2">
      <c r="AL114" s="5" t="s">
        <v>229</v>
      </c>
      <c r="AM114" s="12">
        <f>(AM111-AM108)/(AM109/SQRT(AM110))</f>
        <v>-2.1081851067789197</v>
      </c>
      <c r="AN114" s="45" t="s">
        <v>330</v>
      </c>
    </row>
    <row r="115" spans="38:40" x14ac:dyDescent="0.2">
      <c r="AL115" s="5" t="s">
        <v>331</v>
      </c>
      <c r="AM115" s="12">
        <f>_xlfn.NORM.S.DIST(AM114,TRUE)-0.5</f>
        <v>-0.48249250949016875</v>
      </c>
      <c r="AN115" s="92" t="s">
        <v>269</v>
      </c>
    </row>
    <row r="116" spans="38:40" x14ac:dyDescent="0.2">
      <c r="AL116" s="5" t="str">
        <f>"P("&amp;MIN(AM108,AM111)&amp;"&lt;=x&lt;="&amp;MAX(AM108,AM111)&amp;")"</f>
        <v>P(335&lt;=x&lt;=350)</v>
      </c>
      <c r="AM116" s="12">
        <f>ABS(AM115)</f>
        <v>0.48249250949016875</v>
      </c>
    </row>
    <row r="117" spans="38:40" x14ac:dyDescent="0.2">
      <c r="AL117" s="5" t="str">
        <f>"P(&gt;"&amp;AM111&amp;")"</f>
        <v>P(&gt;335)</v>
      </c>
      <c r="AM117" s="12">
        <f>IF(AM115&gt;0,0.5-AM116,0.5+AM116)</f>
        <v>0.98249250949016875</v>
      </c>
    </row>
    <row r="118" spans="38:40" x14ac:dyDescent="0.2">
      <c r="AL118" s="5" t="str">
        <f>"P(&lt;"&amp;AM111&amp;")"</f>
        <v>P(&lt;335)</v>
      </c>
      <c r="AM118" s="12">
        <f>1-AM117</f>
        <v>1.7507490509831247E-2</v>
      </c>
    </row>
    <row r="120" spans="38:40" x14ac:dyDescent="0.2">
      <c r="AL120" s="5" t="s">
        <v>325</v>
      </c>
      <c r="AM120" s="98">
        <f>AM108</f>
        <v>350</v>
      </c>
      <c r="AN120" s="45" t="s">
        <v>4</v>
      </c>
    </row>
    <row r="121" spans="38:40" x14ac:dyDescent="0.2">
      <c r="AL121" s="5" t="s">
        <v>324</v>
      </c>
      <c r="AM121" s="98">
        <f>AM109</f>
        <v>45</v>
      </c>
      <c r="AN121" s="45" t="s">
        <v>5</v>
      </c>
    </row>
    <row r="122" spans="38:40" x14ac:dyDescent="0.2">
      <c r="AL122" s="5" t="s">
        <v>326</v>
      </c>
      <c r="AM122" s="87">
        <f>AM110</f>
        <v>40</v>
      </c>
      <c r="AN122" s="45" t="s">
        <v>43</v>
      </c>
    </row>
    <row r="123" spans="38:40" x14ac:dyDescent="0.2">
      <c r="AL123" s="5" t="s">
        <v>333</v>
      </c>
      <c r="AM123" s="87">
        <v>0</v>
      </c>
      <c r="AN123" s="45" t="s">
        <v>329</v>
      </c>
    </row>
    <row r="124" spans="38:40" x14ac:dyDescent="0.2">
      <c r="AL124" s="5" t="s">
        <v>323</v>
      </c>
      <c r="AM124" s="90">
        <f>AM121^2</f>
        <v>2025</v>
      </c>
      <c r="AN124" s="45" t="s">
        <v>322</v>
      </c>
    </row>
    <row r="125" spans="38:40" x14ac:dyDescent="0.2">
      <c r="AL125" s="5" t="s">
        <v>321</v>
      </c>
      <c r="AM125" s="12">
        <f>AM121/SQRT(AM122)</f>
        <v>7.1151247353788527</v>
      </c>
      <c r="AN125" s="45" t="s">
        <v>327</v>
      </c>
    </row>
    <row r="126" spans="38:40" x14ac:dyDescent="0.2">
      <c r="AL126" s="5" t="s">
        <v>229</v>
      </c>
      <c r="AM126" s="12">
        <f>(AM123-AM120)/(AM121/SQRT(AM122))</f>
        <v>-49.190985824841462</v>
      </c>
      <c r="AN126" s="45" t="s">
        <v>330</v>
      </c>
    </row>
    <row r="127" spans="38:40" x14ac:dyDescent="0.2">
      <c r="AL127" s="5" t="s">
        <v>331</v>
      </c>
      <c r="AM127" s="12">
        <f>_xlfn.NORM.S.DIST(AM126,TRUE)-0.5</f>
        <v>-0.5</v>
      </c>
      <c r="AN127" s="92" t="s">
        <v>269</v>
      </c>
    </row>
    <row r="128" spans="38:40" x14ac:dyDescent="0.2">
      <c r="AL128" s="5" t="str">
        <f>"P("&amp;MIN(AM120,AM123)&amp;"&lt;=x&lt;="&amp;MAX(AM120,AM123)&amp;")"</f>
        <v>P(0&lt;=x&lt;=350)</v>
      </c>
      <c r="AM128" s="12">
        <f>ABS(AM127)</f>
        <v>0.5</v>
      </c>
    </row>
    <row r="129" spans="38:40" x14ac:dyDescent="0.2">
      <c r="AL129" s="5" t="str">
        <f>"P(&gt;"&amp;AM123&amp;")"</f>
        <v>P(&gt;0)</v>
      </c>
      <c r="AM129" s="12">
        <f>IF(AM127&gt;0,0.5-AM128,0.5+AM128)</f>
        <v>1</v>
      </c>
    </row>
    <row r="130" spans="38:40" x14ac:dyDescent="0.2">
      <c r="AL130" s="5" t="str">
        <f>"P(&lt;"&amp;AM123&amp;")"</f>
        <v>P(&lt;0)</v>
      </c>
      <c r="AM130" s="12">
        <f>1-AM129</f>
        <v>0</v>
      </c>
    </row>
    <row r="132" spans="38:40" x14ac:dyDescent="0.2">
      <c r="AL132" s="5" t="str">
        <f>"P("&amp;MIN(AM111,AM123)&amp;"&lt;=x&lt;="&amp;MAX(AM111,AM123)&amp;")"</f>
        <v>P(0&lt;=x&lt;=335)</v>
      </c>
      <c r="AM132" s="12">
        <f>1-AM130-AM117</f>
        <v>1.7507490509831247E-2</v>
      </c>
    </row>
    <row r="134" spans="38:40" x14ac:dyDescent="0.2">
      <c r="AL134" s="5" t="s">
        <v>338</v>
      </c>
      <c r="AM134" s="85"/>
    </row>
    <row r="135" spans="38:40" x14ac:dyDescent="0.2">
      <c r="AL135" s="5" t="s">
        <v>333</v>
      </c>
      <c r="AM135" s="12">
        <f>AM108-AM134</f>
        <v>350</v>
      </c>
    </row>
    <row r="136" spans="38:40" x14ac:dyDescent="0.2">
      <c r="AL136" s="5" t="s">
        <v>332</v>
      </c>
      <c r="AM136" s="12">
        <f>AM108+AM134</f>
        <v>350</v>
      </c>
    </row>
    <row r="137" spans="38:40" x14ac:dyDescent="0.2">
      <c r="AL137" s="5" t="s">
        <v>334</v>
      </c>
      <c r="AM137" s="12">
        <f>(AM135-AM108)/(AM109/SQRT(AM110))</f>
        <v>0</v>
      </c>
    </row>
    <row r="138" spans="38:40" x14ac:dyDescent="0.2">
      <c r="AL138" s="5" t="s">
        <v>335</v>
      </c>
      <c r="AM138" s="12">
        <f>(AM136-AM108)/(AM109/SQRT(AM110))</f>
        <v>0</v>
      </c>
    </row>
    <row r="139" spans="38:40" x14ac:dyDescent="0.2">
      <c r="AL139" s="5" t="s">
        <v>336</v>
      </c>
      <c r="AM139" s="12">
        <f>_xlfn.NORM.S.DIST(AM137,TRUE)-0.5</f>
        <v>0</v>
      </c>
      <c r="AN139" s="92" t="s">
        <v>269</v>
      </c>
    </row>
    <row r="140" spans="38:40" x14ac:dyDescent="0.2">
      <c r="AL140" s="5" t="s">
        <v>337</v>
      </c>
      <c r="AM140" s="12">
        <f>_xlfn.NORM.S.DIST(AM138,TRUE)-0.5</f>
        <v>0</v>
      </c>
      <c r="AN140" s="92" t="s">
        <v>269</v>
      </c>
    </row>
    <row r="141" spans="38:40" x14ac:dyDescent="0.2">
      <c r="AL141" s="5" t="str">
        <f>"P(x&lt;"&amp;MIN(AM120,AM135)&amp;")"</f>
        <v>P(x&lt;350)</v>
      </c>
      <c r="AM141" s="12">
        <f>0.5-ABS(AM139)</f>
        <v>0.5</v>
      </c>
    </row>
    <row r="142" spans="38:40" x14ac:dyDescent="0.2">
      <c r="AL142" s="5" t="str">
        <f>"P(x&gt;"&amp;MAX(AM120,AM136)&amp;")"</f>
        <v>P(x&gt;350)</v>
      </c>
      <c r="AM142" s="12">
        <f>0.5-ABS(AM140)</f>
        <v>0.5</v>
      </c>
    </row>
    <row r="143" spans="38:40" x14ac:dyDescent="0.2">
      <c r="AL143" s="5" t="str">
        <f>AL141&amp;" or "&amp;AL142</f>
        <v>P(x&lt;350) or P(x&gt;350)</v>
      </c>
      <c r="AM143" s="12">
        <f>SUM(AM141:AM142)</f>
        <v>1</v>
      </c>
    </row>
    <row r="144" spans="38:40" x14ac:dyDescent="0.2">
      <c r="AL144" s="5" t="str">
        <f>"P("&amp;MIN(AM135,AM136)&amp;"&lt;=x&lt;="&amp;MAX(AM135,AM136)&amp;")"</f>
        <v>P(350&lt;=x&lt;=350)</v>
      </c>
      <c r="AM144" s="12">
        <f>1-AM143</f>
        <v>0</v>
      </c>
    </row>
    <row r="145" spans="35:39" x14ac:dyDescent="0.2">
      <c r="AL145" s="5"/>
      <c r="AM145" s="12"/>
    </row>
    <row r="146" spans="35:39" x14ac:dyDescent="0.2">
      <c r="AI146" s="17" t="s">
        <v>349</v>
      </c>
      <c r="AJ146" s="17"/>
    </row>
    <row r="147" spans="35:39" x14ac:dyDescent="0.2">
      <c r="AI147" s="17"/>
      <c r="AJ147" s="17" t="s">
        <v>345</v>
      </c>
    </row>
    <row r="148" spans="35:39" x14ac:dyDescent="0.2">
      <c r="AI148" s="17"/>
      <c r="AJ148" s="17" t="s">
        <v>346</v>
      </c>
    </row>
    <row r="149" spans="35:39" x14ac:dyDescent="0.2">
      <c r="AI149" s="17"/>
      <c r="AJ149" s="17" t="s">
        <v>347</v>
      </c>
    </row>
    <row r="150" spans="35:39" x14ac:dyDescent="0.2">
      <c r="AI150" s="17"/>
      <c r="AJ150" s="17" t="s">
        <v>348</v>
      </c>
    </row>
    <row r="151" spans="35:39" x14ac:dyDescent="0.2">
      <c r="AK151" s="5" t="s">
        <v>325</v>
      </c>
      <c r="AL151" s="98">
        <v>29</v>
      </c>
      <c r="AM151" s="45" t="s">
        <v>4</v>
      </c>
    </row>
    <row r="152" spans="35:39" x14ac:dyDescent="0.2">
      <c r="AK152" s="5" t="s">
        <v>324</v>
      </c>
      <c r="AL152" s="98">
        <v>2.5</v>
      </c>
      <c r="AM152" s="45" t="s">
        <v>5</v>
      </c>
    </row>
    <row r="153" spans="35:39" x14ac:dyDescent="0.2">
      <c r="AK153" s="5" t="s">
        <v>326</v>
      </c>
      <c r="AL153" s="87">
        <v>60</v>
      </c>
      <c r="AM153" s="45" t="s">
        <v>43</v>
      </c>
    </row>
    <row r="154" spans="35:39" x14ac:dyDescent="0.2">
      <c r="AK154" s="5" t="s">
        <v>332</v>
      </c>
      <c r="AL154" s="87">
        <v>29.3</v>
      </c>
      <c r="AM154" s="45" t="s">
        <v>329</v>
      </c>
    </row>
    <row r="155" spans="35:39" x14ac:dyDescent="0.2">
      <c r="AK155" s="5" t="s">
        <v>323</v>
      </c>
      <c r="AL155" s="90">
        <f>AL152^2</f>
        <v>6.25</v>
      </c>
      <c r="AM155" s="45" t="s">
        <v>322</v>
      </c>
    </row>
    <row r="156" spans="35:39" x14ac:dyDescent="0.2">
      <c r="AK156" s="5" t="s">
        <v>321</v>
      </c>
      <c r="AL156" s="12">
        <f>AL152/SQRT(AL153)</f>
        <v>0.3227486121839514</v>
      </c>
      <c r="AM156" s="45" t="s">
        <v>327</v>
      </c>
    </row>
    <row r="157" spans="35:39" x14ac:dyDescent="0.2">
      <c r="AK157" s="5" t="s">
        <v>229</v>
      </c>
      <c r="AL157" s="12">
        <f>(AL154-AL151)/(AL152/SQRT(AL153))</f>
        <v>0.92951600308978233</v>
      </c>
      <c r="AM157" s="45" t="s">
        <v>330</v>
      </c>
    </row>
    <row r="158" spans="35:39" x14ac:dyDescent="0.2">
      <c r="AK158" s="5" t="s">
        <v>331</v>
      </c>
      <c r="AL158" s="12">
        <f>_xlfn.NORM.S.DIST(AL157,TRUE)-0.5</f>
        <v>0.32368913217142148</v>
      </c>
      <c r="AM158" s="92" t="s">
        <v>269</v>
      </c>
    </row>
    <row r="159" spans="35:39" x14ac:dyDescent="0.2">
      <c r="AK159" s="5" t="str">
        <f>"P("&amp;MIN(AL151,AL154)&amp;"&lt;=x&lt;="&amp;MAX(AL151,AL154)&amp;")"</f>
        <v>P(29&lt;=x&lt;=29.3)</v>
      </c>
      <c r="AL159" s="12">
        <f>ABS(AL158)</f>
        <v>0.32368913217142148</v>
      </c>
    </row>
    <row r="160" spans="35:39" x14ac:dyDescent="0.2">
      <c r="AK160" s="5" t="str">
        <f>"P(&gt;"&amp;AL154&amp;")"</f>
        <v>P(&gt;29.3)</v>
      </c>
      <c r="AL160" s="12">
        <f>IF(AL158&gt;0,0.5-AL159,0.5+AL159)</f>
        <v>0.17631086782857852</v>
      </c>
    </row>
    <row r="161" spans="37:39" x14ac:dyDescent="0.2">
      <c r="AK161" s="5" t="str">
        <f>"P(&lt;"&amp;AL154&amp;")"</f>
        <v>P(&lt;29.3)</v>
      </c>
      <c r="AL161" s="22">
        <f>1-AL160</f>
        <v>0.82368913217142148</v>
      </c>
    </row>
    <row r="163" spans="37:39" x14ac:dyDescent="0.2">
      <c r="AK163" s="5" t="s">
        <v>325</v>
      </c>
      <c r="AL163" s="98">
        <f>AL151</f>
        <v>29</v>
      </c>
      <c r="AM163" s="45" t="s">
        <v>4</v>
      </c>
    </row>
    <row r="164" spans="37:39" x14ac:dyDescent="0.2">
      <c r="AK164" s="5" t="s">
        <v>324</v>
      </c>
      <c r="AL164" s="98">
        <f>AL152</f>
        <v>2.5</v>
      </c>
      <c r="AM164" s="45" t="s">
        <v>5</v>
      </c>
    </row>
    <row r="165" spans="37:39" x14ac:dyDescent="0.2">
      <c r="AK165" s="5" t="s">
        <v>326</v>
      </c>
      <c r="AL165" s="87">
        <f>AL153</f>
        <v>60</v>
      </c>
      <c r="AM165" s="45" t="s">
        <v>43</v>
      </c>
    </row>
    <row r="166" spans="37:39" x14ac:dyDescent="0.2">
      <c r="AK166" s="5" t="s">
        <v>333</v>
      </c>
      <c r="AL166" s="87">
        <v>0</v>
      </c>
      <c r="AM166" s="45" t="s">
        <v>329</v>
      </c>
    </row>
    <row r="167" spans="37:39" x14ac:dyDescent="0.2">
      <c r="AK167" s="5" t="s">
        <v>323</v>
      </c>
      <c r="AL167" s="90">
        <f>AL164^2</f>
        <v>6.25</v>
      </c>
      <c r="AM167" s="45" t="s">
        <v>322</v>
      </c>
    </row>
    <row r="168" spans="37:39" x14ac:dyDescent="0.2">
      <c r="AK168" s="5" t="s">
        <v>321</v>
      </c>
      <c r="AL168" s="12">
        <f>AL164/SQRT(AL165)</f>
        <v>0.3227486121839514</v>
      </c>
      <c r="AM168" s="45" t="s">
        <v>327</v>
      </c>
    </row>
    <row r="169" spans="37:39" x14ac:dyDescent="0.2">
      <c r="AK169" s="5" t="s">
        <v>229</v>
      </c>
      <c r="AL169" s="12">
        <f>(AL166-AL163)/(AL164/SQRT(AL165))</f>
        <v>-89.853213632012071</v>
      </c>
      <c r="AM169" s="45" t="s">
        <v>330</v>
      </c>
    </row>
    <row r="170" spans="37:39" x14ac:dyDescent="0.2">
      <c r="AK170" s="5" t="s">
        <v>331</v>
      </c>
      <c r="AL170" s="12">
        <f>_xlfn.NORM.S.DIST(AL169,TRUE)-0.5</f>
        <v>-0.5</v>
      </c>
      <c r="AM170" s="92" t="s">
        <v>269</v>
      </c>
    </row>
    <row r="171" spans="37:39" x14ac:dyDescent="0.2">
      <c r="AK171" s="5" t="str">
        <f>"P("&amp;MIN(AL163,AL166)&amp;"&lt;=x&lt;="&amp;MAX(AL163,AL166)&amp;")"</f>
        <v>P(0&lt;=x&lt;=29)</v>
      </c>
      <c r="AL171" s="12">
        <f>ABS(AL170)</f>
        <v>0.5</v>
      </c>
    </row>
    <row r="172" spans="37:39" x14ac:dyDescent="0.2">
      <c r="AK172" s="5" t="str">
        <f>"P(&gt;"&amp;AL166&amp;")"</f>
        <v>P(&gt;0)</v>
      </c>
      <c r="AL172" s="12">
        <f>IF(AL170&gt;0,0.5-AL171,0.5+AL171)</f>
        <v>1</v>
      </c>
    </row>
    <row r="173" spans="37:39" x14ac:dyDescent="0.2">
      <c r="AK173" s="5" t="str">
        <f>"P(&lt;"&amp;AL166&amp;")"</f>
        <v>P(&lt;0)</v>
      </c>
      <c r="AL173" s="12">
        <f>1-AL172</f>
        <v>0</v>
      </c>
    </row>
    <row r="175" spans="37:39" x14ac:dyDescent="0.2">
      <c r="AK175" s="5" t="str">
        <f>"P("&amp;MIN(AL154,AL166)&amp;"&lt;=x&lt;="&amp;MAX(AL154,AL166)&amp;")"</f>
        <v>P(0&lt;=x&lt;=29.3)</v>
      </c>
      <c r="AL175" s="12">
        <f>1-AL173-AL160</f>
        <v>0.82368913217142148</v>
      </c>
    </row>
    <row r="177" spans="35:39" x14ac:dyDescent="0.2">
      <c r="AK177" s="5" t="s">
        <v>338</v>
      </c>
      <c r="AL177" s="85"/>
    </row>
    <row r="178" spans="35:39" x14ac:dyDescent="0.2">
      <c r="AK178" s="5" t="s">
        <v>333</v>
      </c>
      <c r="AL178" s="12">
        <f>AL151-AL177</f>
        <v>29</v>
      </c>
    </row>
    <row r="179" spans="35:39" x14ac:dyDescent="0.2">
      <c r="AK179" s="5" t="s">
        <v>332</v>
      </c>
      <c r="AL179" s="12">
        <f>AL151+AL177</f>
        <v>29</v>
      </c>
    </row>
    <row r="180" spans="35:39" x14ac:dyDescent="0.2">
      <c r="AK180" s="5" t="s">
        <v>334</v>
      </c>
      <c r="AL180" s="12">
        <f>(AL178-AL151)/(AL152/SQRT(AL153))</f>
        <v>0</v>
      </c>
    </row>
    <row r="181" spans="35:39" x14ac:dyDescent="0.2">
      <c r="AK181" s="5" t="s">
        <v>335</v>
      </c>
      <c r="AL181" s="12">
        <f>(AL179-AL151)/(AL152/SQRT(AL153))</f>
        <v>0</v>
      </c>
    </row>
    <row r="182" spans="35:39" x14ac:dyDescent="0.2">
      <c r="AK182" s="5" t="s">
        <v>336</v>
      </c>
      <c r="AL182" s="12">
        <f>_xlfn.NORM.S.DIST(AL180,TRUE)-0.5</f>
        <v>0</v>
      </c>
      <c r="AM182" s="92" t="s">
        <v>269</v>
      </c>
    </row>
    <row r="183" spans="35:39" x14ac:dyDescent="0.2">
      <c r="AK183" s="5" t="s">
        <v>337</v>
      </c>
      <c r="AL183" s="12">
        <f>_xlfn.NORM.S.DIST(AL181,TRUE)-0.5</f>
        <v>0</v>
      </c>
      <c r="AM183" s="92" t="s">
        <v>269</v>
      </c>
    </row>
    <row r="184" spans="35:39" x14ac:dyDescent="0.2">
      <c r="AK184" s="5" t="str">
        <f>"P(x&lt;"&amp;MIN(AL163,AL178)&amp;")"</f>
        <v>P(x&lt;29)</v>
      </c>
      <c r="AL184" s="12">
        <f>0.5-ABS(AL182)</f>
        <v>0.5</v>
      </c>
    </row>
    <row r="185" spans="35:39" x14ac:dyDescent="0.2">
      <c r="AK185" s="5" t="str">
        <f>"P(x&gt;"&amp;MAX(AL163,AL179)&amp;")"</f>
        <v>P(x&gt;29)</v>
      </c>
      <c r="AL185" s="12">
        <f>0.5-ABS(AL183)</f>
        <v>0.5</v>
      </c>
    </row>
    <row r="186" spans="35:39" x14ac:dyDescent="0.2">
      <c r="AK186" s="5" t="str">
        <f>AK184&amp;" or "&amp;AK185</f>
        <v>P(x&lt;29) or P(x&gt;29)</v>
      </c>
      <c r="AL186" s="12">
        <f>SUM(AL184:AL185)</f>
        <v>1</v>
      </c>
    </row>
    <row r="187" spans="35:39" x14ac:dyDescent="0.2">
      <c r="AK187" s="5" t="str">
        <f>"P("&amp;MIN(AL178,AL179)&amp;"&lt;=x&lt;="&amp;MAX(AL178,AL179)&amp;")"</f>
        <v>P(29&lt;=x&lt;=29)</v>
      </c>
      <c r="AL187" s="12">
        <f>1-AL186</f>
        <v>0</v>
      </c>
    </row>
    <row r="188" spans="35:39" x14ac:dyDescent="0.2">
      <c r="AK188" s="5"/>
      <c r="AL188" s="12"/>
    </row>
    <row r="189" spans="35:39" x14ac:dyDescent="0.2">
      <c r="AI189" s="17" t="s">
        <v>355</v>
      </c>
      <c r="AJ189" s="17"/>
    </row>
    <row r="190" spans="35:39" x14ac:dyDescent="0.2">
      <c r="AI190" s="17"/>
      <c r="AJ190" s="17" t="s">
        <v>350</v>
      </c>
    </row>
    <row r="191" spans="35:39" x14ac:dyDescent="0.2">
      <c r="AI191" s="17"/>
      <c r="AJ191" s="17" t="s">
        <v>351</v>
      </c>
    </row>
    <row r="193" spans="36:40" x14ac:dyDescent="0.2">
      <c r="AJ193" s="6">
        <f>AM206</f>
        <v>0</v>
      </c>
      <c r="AK193" t="s">
        <v>352</v>
      </c>
    </row>
    <row r="194" spans="36:40" x14ac:dyDescent="0.2">
      <c r="AJ194" s="6">
        <f>AM221</f>
        <v>0.9866021167847</v>
      </c>
      <c r="AK194" t="s">
        <v>353</v>
      </c>
    </row>
    <row r="195" spans="36:40" x14ac:dyDescent="0.2">
      <c r="AJ195" s="6">
        <f>AM219</f>
        <v>1.3397883215299999E-2</v>
      </c>
      <c r="AK195" t="s">
        <v>354</v>
      </c>
    </row>
    <row r="197" spans="36:40" x14ac:dyDescent="0.2">
      <c r="AL197" s="5" t="s">
        <v>325</v>
      </c>
      <c r="AM197" s="98">
        <v>510</v>
      </c>
      <c r="AN197" s="45" t="s">
        <v>4</v>
      </c>
    </row>
    <row r="198" spans="36:40" x14ac:dyDescent="0.2">
      <c r="AL198" s="5" t="s">
        <v>324</v>
      </c>
      <c r="AM198" s="98">
        <v>14.28</v>
      </c>
      <c r="AN198" s="45" t="s">
        <v>5</v>
      </c>
    </row>
    <row r="199" spans="36:40" x14ac:dyDescent="0.2">
      <c r="AL199" s="5" t="s">
        <v>326</v>
      </c>
      <c r="AM199" s="87">
        <v>10</v>
      </c>
      <c r="AN199" s="45" t="s">
        <v>43</v>
      </c>
    </row>
    <row r="200" spans="36:40" x14ac:dyDescent="0.2">
      <c r="AL200" s="5" t="s">
        <v>332</v>
      </c>
      <c r="AM200" s="87">
        <v>600</v>
      </c>
      <c r="AN200" s="45" t="s">
        <v>329</v>
      </c>
    </row>
    <row r="201" spans="36:40" x14ac:dyDescent="0.2">
      <c r="AL201" s="5" t="s">
        <v>323</v>
      </c>
      <c r="AM201" s="90">
        <f>AM198^2</f>
        <v>203.91839999999999</v>
      </c>
      <c r="AN201" s="45" t="s">
        <v>322</v>
      </c>
    </row>
    <row r="202" spans="36:40" x14ac:dyDescent="0.2">
      <c r="AL202" s="5" t="s">
        <v>321</v>
      </c>
      <c r="AM202" s="12">
        <f>AM198/SQRT(AM199)</f>
        <v>4.5157324987204452</v>
      </c>
      <c r="AN202" s="45" t="s">
        <v>327</v>
      </c>
    </row>
    <row r="203" spans="36:40" x14ac:dyDescent="0.2">
      <c r="AL203" s="5" t="s">
        <v>229</v>
      </c>
      <c r="AM203" s="12">
        <f>(AM200-AM197)/(AM198/SQRT(AM199))</f>
        <v>19.930321387615837</v>
      </c>
      <c r="AN203" s="45" t="s">
        <v>330</v>
      </c>
    </row>
    <row r="204" spans="36:40" x14ac:dyDescent="0.2">
      <c r="AL204" s="5" t="s">
        <v>331</v>
      </c>
      <c r="AM204" s="12">
        <f>_xlfn.NORM.S.DIST(AM203,TRUE)-0.5</f>
        <v>0.5</v>
      </c>
      <c r="AN204" s="92" t="s">
        <v>269</v>
      </c>
    </row>
    <row r="205" spans="36:40" x14ac:dyDescent="0.2">
      <c r="AL205" s="5" t="str">
        <f>"P("&amp;MIN(AM197,AM200)&amp;"&lt;=x&lt;="&amp;MAX(AM197,AM200)&amp;")"</f>
        <v>P(510&lt;=x&lt;=600)</v>
      </c>
      <c r="AM205" s="12">
        <f>ABS(AM204)</f>
        <v>0.5</v>
      </c>
    </row>
    <row r="206" spans="36:40" x14ac:dyDescent="0.2">
      <c r="AL206" s="5" t="str">
        <f>"P(&gt;"&amp;AM200&amp;")"</f>
        <v>P(&gt;600)</v>
      </c>
      <c r="AM206" s="12">
        <f>IF(AM204&gt;0,0.5-AM205,0.5+AM205)</f>
        <v>0</v>
      </c>
    </row>
    <row r="207" spans="36:40" x14ac:dyDescent="0.2">
      <c r="AL207" s="5" t="str">
        <f>"P(&lt;"&amp;AM200&amp;")"</f>
        <v>P(&lt;600)</v>
      </c>
      <c r="AM207" s="86">
        <f>1-AM206</f>
        <v>1</v>
      </c>
    </row>
    <row r="209" spans="38:40" x14ac:dyDescent="0.2">
      <c r="AL209" s="5" t="s">
        <v>325</v>
      </c>
      <c r="AM209" s="98">
        <f>AM197</f>
        <v>510</v>
      </c>
      <c r="AN209" s="45" t="s">
        <v>4</v>
      </c>
    </row>
    <row r="210" spans="38:40" x14ac:dyDescent="0.2">
      <c r="AL210" s="5" t="s">
        <v>324</v>
      </c>
      <c r="AM210" s="98">
        <f>AM198</f>
        <v>14.28</v>
      </c>
      <c r="AN210" s="45" t="s">
        <v>5</v>
      </c>
    </row>
    <row r="211" spans="38:40" x14ac:dyDescent="0.2">
      <c r="AL211" s="5" t="s">
        <v>326</v>
      </c>
      <c r="AM211" s="87">
        <f>AM199</f>
        <v>10</v>
      </c>
      <c r="AN211" s="45" t="s">
        <v>43</v>
      </c>
    </row>
    <row r="212" spans="38:40" x14ac:dyDescent="0.2">
      <c r="AL212" s="5" t="s">
        <v>333</v>
      </c>
      <c r="AM212" s="87">
        <v>500</v>
      </c>
      <c r="AN212" s="45" t="s">
        <v>329</v>
      </c>
    </row>
    <row r="213" spans="38:40" x14ac:dyDescent="0.2">
      <c r="AL213" s="5" t="s">
        <v>323</v>
      </c>
      <c r="AM213" s="90">
        <f>AM210^2</f>
        <v>203.91839999999999</v>
      </c>
      <c r="AN213" s="45" t="s">
        <v>322</v>
      </c>
    </row>
    <row r="214" spans="38:40" x14ac:dyDescent="0.2">
      <c r="AL214" s="5" t="s">
        <v>321</v>
      </c>
      <c r="AM214" s="12">
        <f>AM210/SQRT(AM211)</f>
        <v>4.5157324987204452</v>
      </c>
      <c r="AN214" s="45" t="s">
        <v>327</v>
      </c>
    </row>
    <row r="215" spans="38:40" x14ac:dyDescent="0.2">
      <c r="AL215" s="5" t="s">
        <v>229</v>
      </c>
      <c r="AM215" s="12">
        <f>(AM212-AM209)/(AM210/SQRT(AM211))</f>
        <v>-2.2144801541795376</v>
      </c>
      <c r="AN215" s="45" t="s">
        <v>330</v>
      </c>
    </row>
    <row r="216" spans="38:40" x14ac:dyDescent="0.2">
      <c r="AL216" s="5" t="s">
        <v>331</v>
      </c>
      <c r="AM216" s="12">
        <f>_xlfn.NORM.S.DIST(AM215,TRUE)-0.5</f>
        <v>-0.4866021167847</v>
      </c>
      <c r="AN216" s="92" t="s">
        <v>269</v>
      </c>
    </row>
    <row r="217" spans="38:40" x14ac:dyDescent="0.2">
      <c r="AL217" s="5" t="str">
        <f>"P("&amp;MIN(AM209,AM212)&amp;"&lt;=x&lt;="&amp;MAX(AM209,AM212)&amp;")"</f>
        <v>P(500&lt;=x&lt;=510)</v>
      </c>
      <c r="AM217" s="12">
        <f>ABS(AM216)</f>
        <v>0.4866021167847</v>
      </c>
    </row>
    <row r="218" spans="38:40" x14ac:dyDescent="0.2">
      <c r="AL218" s="5" t="str">
        <f>"P(&gt;"&amp;AM212&amp;")"</f>
        <v>P(&gt;500)</v>
      </c>
      <c r="AM218" s="12">
        <f>IF(AM216&gt;0,0.5-AM217,0.5+AM217)</f>
        <v>0.9866021167847</v>
      </c>
    </row>
    <row r="219" spans="38:40" x14ac:dyDescent="0.2">
      <c r="AL219" s="5" t="str">
        <f>"P(&lt;"&amp;AM212&amp;")"</f>
        <v>P(&lt;500)</v>
      </c>
      <c r="AM219" s="12">
        <f>1-AM218</f>
        <v>1.3397883215299999E-2</v>
      </c>
    </row>
    <row r="221" spans="38:40" x14ac:dyDescent="0.2">
      <c r="AL221" s="5" t="str">
        <f>"P("&amp;MIN(AM200,AM212)&amp;"&lt;=x&lt;="&amp;MAX(AM200,AM212)&amp;")"</f>
        <v>P(500&lt;=x&lt;=600)</v>
      </c>
      <c r="AM221" s="12">
        <f>1-AM219-AM206</f>
        <v>0.9866021167847</v>
      </c>
    </row>
    <row r="223" spans="38:40" x14ac:dyDescent="0.2">
      <c r="AL223" s="5" t="s">
        <v>338</v>
      </c>
      <c r="AM223" s="85"/>
    </row>
    <row r="224" spans="38:40" x14ac:dyDescent="0.2">
      <c r="AL224" s="5" t="s">
        <v>333</v>
      </c>
      <c r="AM224" s="12">
        <f>AM197-AM223</f>
        <v>510</v>
      </c>
    </row>
    <row r="225" spans="35:40" x14ac:dyDescent="0.2">
      <c r="AL225" s="5" t="s">
        <v>332</v>
      </c>
      <c r="AM225" s="12">
        <f>AM197+AM223</f>
        <v>510</v>
      </c>
    </row>
    <row r="226" spans="35:40" x14ac:dyDescent="0.2">
      <c r="AL226" s="5" t="s">
        <v>334</v>
      </c>
      <c r="AM226" s="12">
        <f>(AM224-AM197)/(AM198/SQRT(AM199))</f>
        <v>0</v>
      </c>
    </row>
    <row r="227" spans="35:40" x14ac:dyDescent="0.2">
      <c r="AL227" s="5" t="s">
        <v>335</v>
      </c>
      <c r="AM227" s="12">
        <f>(AM225-AM197)/(AM198/SQRT(AM199))</f>
        <v>0</v>
      </c>
    </row>
    <row r="228" spans="35:40" x14ac:dyDescent="0.2">
      <c r="AL228" s="5" t="s">
        <v>336</v>
      </c>
      <c r="AM228" s="12">
        <f>_xlfn.NORM.S.DIST(AM226,TRUE)-0.5</f>
        <v>0</v>
      </c>
      <c r="AN228" s="92" t="s">
        <v>269</v>
      </c>
    </row>
    <row r="229" spans="35:40" x14ac:dyDescent="0.2">
      <c r="AL229" s="5" t="s">
        <v>337</v>
      </c>
      <c r="AM229" s="12">
        <f>_xlfn.NORM.S.DIST(AM227,TRUE)-0.5</f>
        <v>0</v>
      </c>
      <c r="AN229" s="92" t="s">
        <v>269</v>
      </c>
    </row>
    <row r="230" spans="35:40" x14ac:dyDescent="0.2">
      <c r="AL230" s="5" t="str">
        <f>"P(x&lt;"&amp;MIN(AM209,AM224)&amp;")"</f>
        <v>P(x&lt;510)</v>
      </c>
      <c r="AM230" s="12">
        <f>0.5-ABS(AM228)</f>
        <v>0.5</v>
      </c>
    </row>
    <row r="231" spans="35:40" x14ac:dyDescent="0.2">
      <c r="AL231" s="5" t="str">
        <f>"P(x&gt;"&amp;MAX(AM209,AM225)&amp;")"</f>
        <v>P(x&gt;510)</v>
      </c>
      <c r="AM231" s="12">
        <f>0.5-ABS(AM229)</f>
        <v>0.5</v>
      </c>
    </row>
    <row r="232" spans="35:40" x14ac:dyDescent="0.2">
      <c r="AL232" s="5" t="str">
        <f>AL230&amp;" or "&amp;AL231</f>
        <v>P(x&lt;510) or P(x&gt;510)</v>
      </c>
      <c r="AM232" s="12">
        <f>SUM(AM230:AM231)</f>
        <v>1</v>
      </c>
    </row>
    <row r="233" spans="35:40" x14ac:dyDescent="0.2">
      <c r="AL233" s="5" t="str">
        <f>"P("&amp;MIN(AM224,AM225)&amp;"&lt;=x&lt;="&amp;MAX(AM224,AM225)&amp;")"</f>
        <v>P(510&lt;=x&lt;=510)</v>
      </c>
      <c r="AM233" s="12">
        <f>1-AM232</f>
        <v>0</v>
      </c>
    </row>
    <row r="234" spans="35:40" x14ac:dyDescent="0.2">
      <c r="AL234" s="5"/>
      <c r="AM234" s="12"/>
    </row>
    <row r="235" spans="35:40" x14ac:dyDescent="0.2">
      <c r="AI235" s="17" t="s">
        <v>362</v>
      </c>
      <c r="AJ235" s="17"/>
    </row>
    <row r="236" spans="35:40" x14ac:dyDescent="0.2">
      <c r="AI236" s="17"/>
      <c r="AJ236" s="17" t="s">
        <v>356</v>
      </c>
    </row>
    <row r="237" spans="35:40" x14ac:dyDescent="0.2">
      <c r="AI237" s="17"/>
      <c r="AJ237" s="17" t="s">
        <v>357</v>
      </c>
    </row>
    <row r="239" spans="35:40" x14ac:dyDescent="0.2">
      <c r="AK239" s="6">
        <f>AM249</f>
        <v>0.23333333333333334</v>
      </c>
      <c r="AL239" t="s">
        <v>358</v>
      </c>
    </row>
    <row r="240" spans="35:40" x14ac:dyDescent="0.2">
      <c r="AJ240" s="5" t="str">
        <f>AL268</f>
        <v>P(6&lt;=x&lt;=7)</v>
      </c>
      <c r="AK240" s="6">
        <f>AM268</f>
        <v>0.96787542879234334</v>
      </c>
      <c r="AL240" t="s">
        <v>359</v>
      </c>
    </row>
    <row r="241" spans="36:40" x14ac:dyDescent="0.2">
      <c r="AJ241" s="5" t="str">
        <f>AL280</f>
        <v>P(6.25&lt;=x&lt;=6.75)</v>
      </c>
      <c r="AK241" s="6">
        <f>AM280</f>
        <v>0.71602322824908837</v>
      </c>
      <c r="AL241" t="s">
        <v>360</v>
      </c>
    </row>
    <row r="242" spans="36:40" x14ac:dyDescent="0.2">
      <c r="AJ242" s="5" t="str">
        <f>AL253</f>
        <v>P(&gt;7)</v>
      </c>
      <c r="AK242" s="6">
        <f>AM253</f>
        <v>1.6062285603828275E-2</v>
      </c>
      <c r="AL242" t="s">
        <v>361</v>
      </c>
    </row>
    <row r="244" spans="36:40" x14ac:dyDescent="0.2">
      <c r="AL244" s="5" t="s">
        <v>325</v>
      </c>
      <c r="AM244" s="98">
        <v>6.5</v>
      </c>
      <c r="AN244" s="45" t="s">
        <v>4</v>
      </c>
    </row>
    <row r="245" spans="36:40" x14ac:dyDescent="0.2">
      <c r="AL245" s="5" t="s">
        <v>324</v>
      </c>
      <c r="AM245" s="98">
        <v>2.1</v>
      </c>
      <c r="AN245" s="45" t="s">
        <v>5</v>
      </c>
    </row>
    <row r="246" spans="36:40" x14ac:dyDescent="0.2">
      <c r="AL246" s="5" t="s">
        <v>326</v>
      </c>
      <c r="AM246" s="87">
        <v>81</v>
      </c>
      <c r="AN246" s="45" t="s">
        <v>43</v>
      </c>
    </row>
    <row r="247" spans="36:40" x14ac:dyDescent="0.2">
      <c r="AL247" s="5" t="s">
        <v>332</v>
      </c>
      <c r="AM247" s="87">
        <v>7</v>
      </c>
      <c r="AN247" s="45" t="s">
        <v>329</v>
      </c>
    </row>
    <row r="248" spans="36:40" x14ac:dyDescent="0.2">
      <c r="AL248" s="5" t="s">
        <v>323</v>
      </c>
      <c r="AM248" s="90">
        <f>AM245^2</f>
        <v>4.41</v>
      </c>
      <c r="AN248" s="45" t="s">
        <v>322</v>
      </c>
    </row>
    <row r="249" spans="36:40" x14ac:dyDescent="0.2">
      <c r="AL249" s="5" t="s">
        <v>321</v>
      </c>
      <c r="AM249" s="12">
        <f>AM245/SQRT(AM246)</f>
        <v>0.23333333333333334</v>
      </c>
      <c r="AN249" s="45" t="s">
        <v>327</v>
      </c>
    </row>
    <row r="250" spans="36:40" x14ac:dyDescent="0.2">
      <c r="AL250" s="5" t="s">
        <v>229</v>
      </c>
      <c r="AM250" s="12">
        <f>(AM247-AM244)/(AM245/SQRT(AM246))</f>
        <v>2.1428571428571428</v>
      </c>
      <c r="AN250" s="45" t="s">
        <v>330</v>
      </c>
    </row>
    <row r="251" spans="36:40" x14ac:dyDescent="0.2">
      <c r="AL251" s="5" t="s">
        <v>331</v>
      </c>
      <c r="AM251" s="12">
        <f>_xlfn.NORM.S.DIST(AM250,TRUE)-0.5</f>
        <v>0.48393771439617173</v>
      </c>
      <c r="AN251" s="92" t="s">
        <v>269</v>
      </c>
    </row>
    <row r="252" spans="36:40" x14ac:dyDescent="0.2">
      <c r="AL252" s="5" t="str">
        <f>"P("&amp;MIN(AM244,AM247)&amp;"&lt;=x&lt;="&amp;MAX(AM244,AM247)&amp;")"</f>
        <v>P(6.5&lt;=x&lt;=7)</v>
      </c>
      <c r="AM252" s="12">
        <f>ABS(AM251)</f>
        <v>0.48393771439617173</v>
      </c>
    </row>
    <row r="253" spans="36:40" x14ac:dyDescent="0.2">
      <c r="AL253" s="5" t="str">
        <f>"P(&gt;"&amp;AM247&amp;")"</f>
        <v>P(&gt;7)</v>
      </c>
      <c r="AM253" s="12">
        <f>IF(AM251&gt;0,0.5-AM252,0.5+AM252)</f>
        <v>1.6062285603828275E-2</v>
      </c>
    </row>
    <row r="254" spans="36:40" x14ac:dyDescent="0.2">
      <c r="AL254" s="5" t="str">
        <f>"P(&lt;"&amp;AM247&amp;")"</f>
        <v>P(&lt;7)</v>
      </c>
      <c r="AM254" s="86">
        <f>1-AM253</f>
        <v>0.98393771439617173</v>
      </c>
    </row>
    <row r="256" spans="36:40" x14ac:dyDescent="0.2">
      <c r="AL256" s="5" t="s">
        <v>325</v>
      </c>
      <c r="AM256" s="98">
        <f>AM244</f>
        <v>6.5</v>
      </c>
      <c r="AN256" s="45" t="s">
        <v>4</v>
      </c>
    </row>
    <row r="257" spans="38:40" x14ac:dyDescent="0.2">
      <c r="AL257" s="5" t="s">
        <v>324</v>
      </c>
      <c r="AM257" s="98">
        <f>AM245</f>
        <v>2.1</v>
      </c>
      <c r="AN257" s="45" t="s">
        <v>5</v>
      </c>
    </row>
    <row r="258" spans="38:40" x14ac:dyDescent="0.2">
      <c r="AL258" s="5" t="s">
        <v>326</v>
      </c>
      <c r="AM258" s="87">
        <f>AM246</f>
        <v>81</v>
      </c>
      <c r="AN258" s="45" t="s">
        <v>43</v>
      </c>
    </row>
    <row r="259" spans="38:40" x14ac:dyDescent="0.2">
      <c r="AL259" s="5" t="s">
        <v>333</v>
      </c>
      <c r="AM259" s="87">
        <v>6</v>
      </c>
      <c r="AN259" s="45" t="s">
        <v>329</v>
      </c>
    </row>
    <row r="260" spans="38:40" x14ac:dyDescent="0.2">
      <c r="AL260" s="5" t="s">
        <v>323</v>
      </c>
      <c r="AM260" s="90">
        <f>AM257^2</f>
        <v>4.41</v>
      </c>
      <c r="AN260" s="45" t="s">
        <v>322</v>
      </c>
    </row>
    <row r="261" spans="38:40" x14ac:dyDescent="0.2">
      <c r="AL261" s="5" t="s">
        <v>321</v>
      </c>
      <c r="AM261" s="12">
        <f>AM257/SQRT(AM258)</f>
        <v>0.23333333333333334</v>
      </c>
      <c r="AN261" s="45" t="s">
        <v>327</v>
      </c>
    </row>
    <row r="262" spans="38:40" x14ac:dyDescent="0.2">
      <c r="AL262" s="5" t="s">
        <v>229</v>
      </c>
      <c r="AM262" s="12">
        <f>(AM259-AM256)/(AM257/SQRT(AM258))</f>
        <v>-2.1428571428571428</v>
      </c>
      <c r="AN262" s="45" t="s">
        <v>330</v>
      </c>
    </row>
    <row r="263" spans="38:40" x14ac:dyDescent="0.2">
      <c r="AL263" s="5" t="s">
        <v>331</v>
      </c>
      <c r="AM263" s="12">
        <f>_xlfn.NORM.S.DIST(AM262,TRUE)-0.5</f>
        <v>-0.48393771439617167</v>
      </c>
      <c r="AN263" s="92" t="s">
        <v>269</v>
      </c>
    </row>
    <row r="264" spans="38:40" x14ac:dyDescent="0.2">
      <c r="AL264" s="5" t="str">
        <f>"P("&amp;MIN(AM256,AM259)&amp;"&lt;=x&lt;="&amp;MAX(AM256,AM259)&amp;")"</f>
        <v>P(6&lt;=x&lt;=6.5)</v>
      </c>
      <c r="AM264" s="12">
        <f>ABS(AM263)</f>
        <v>0.48393771439617167</v>
      </c>
    </row>
    <row r="265" spans="38:40" x14ac:dyDescent="0.2">
      <c r="AL265" s="5" t="str">
        <f>"P(&gt;"&amp;AM259&amp;")"</f>
        <v>P(&gt;6)</v>
      </c>
      <c r="AM265" s="12">
        <f>IF(AM263&gt;0,0.5-AM264,0.5+AM264)</f>
        <v>0.98393771439617161</v>
      </c>
    </row>
    <row r="266" spans="38:40" x14ac:dyDescent="0.2">
      <c r="AL266" s="5" t="str">
        <f>"P(&lt;"&amp;AM259&amp;")"</f>
        <v>P(&lt;6)</v>
      </c>
      <c r="AM266" s="12">
        <f>1-AM265</f>
        <v>1.6062285603828386E-2</v>
      </c>
    </row>
    <row r="268" spans="38:40" x14ac:dyDescent="0.2">
      <c r="AL268" s="5" t="str">
        <f>"P("&amp;MIN(AM247,AM259)&amp;"&lt;=x&lt;="&amp;MAX(AM247,AM259)&amp;")"</f>
        <v>P(6&lt;=x&lt;=7)</v>
      </c>
      <c r="AM268" s="12">
        <f>1-AM266-AM253</f>
        <v>0.96787542879234334</v>
      </c>
    </row>
    <row r="270" spans="38:40" x14ac:dyDescent="0.2">
      <c r="AL270" s="5" t="s">
        <v>338</v>
      </c>
      <c r="AM270" s="85">
        <v>0.25</v>
      </c>
    </row>
    <row r="271" spans="38:40" x14ac:dyDescent="0.2">
      <c r="AL271" s="5" t="s">
        <v>333</v>
      </c>
      <c r="AM271" s="12">
        <f>AM244-AM270</f>
        <v>6.25</v>
      </c>
    </row>
    <row r="272" spans="38:40" x14ac:dyDescent="0.2">
      <c r="AL272" s="5" t="s">
        <v>332</v>
      </c>
      <c r="AM272" s="12">
        <f>AM244+AM270</f>
        <v>6.75</v>
      </c>
    </row>
    <row r="273" spans="38:40" x14ac:dyDescent="0.2">
      <c r="AL273" s="5" t="s">
        <v>334</v>
      </c>
      <c r="AM273" s="12">
        <f>(AM271-AM244)/(AM245/SQRT(AM246))</f>
        <v>-1.0714285714285714</v>
      </c>
    </row>
    <row r="274" spans="38:40" x14ac:dyDescent="0.2">
      <c r="AL274" s="5" t="s">
        <v>335</v>
      </c>
      <c r="AM274" s="12">
        <f>(AM272-AM244)/(AM245/SQRT(AM246))</f>
        <v>1.0714285714285714</v>
      </c>
    </row>
    <row r="275" spans="38:40" x14ac:dyDescent="0.2">
      <c r="AL275" s="5" t="s">
        <v>336</v>
      </c>
      <c r="AM275" s="12">
        <f>_xlfn.NORM.S.DIST(AM273,TRUE)-0.5</f>
        <v>-0.35801161412454413</v>
      </c>
      <c r="AN275" s="92" t="s">
        <v>269</v>
      </c>
    </row>
    <row r="276" spans="38:40" x14ac:dyDescent="0.2">
      <c r="AL276" s="5" t="s">
        <v>337</v>
      </c>
      <c r="AM276" s="12">
        <f>_xlfn.NORM.S.DIST(AM274,TRUE)-0.5</f>
        <v>0.35801161412454419</v>
      </c>
      <c r="AN276" s="92" t="s">
        <v>269</v>
      </c>
    </row>
    <row r="277" spans="38:40" x14ac:dyDescent="0.2">
      <c r="AL277" s="5" t="str">
        <f>"P(x&lt;"&amp;MIN(AM256,AM271)&amp;")"</f>
        <v>P(x&lt;6.25)</v>
      </c>
      <c r="AM277" s="12">
        <f>0.5-ABS(AM275)</f>
        <v>0.14198838587545587</v>
      </c>
    </row>
    <row r="278" spans="38:40" x14ac:dyDescent="0.2">
      <c r="AL278" s="5" t="str">
        <f>"P(x&gt;"&amp;MAX(AM256,AM272)&amp;")"</f>
        <v>P(x&gt;6.75)</v>
      </c>
      <c r="AM278" s="12">
        <f>0.5-ABS(AM276)</f>
        <v>0.14198838587545581</v>
      </c>
    </row>
    <row r="279" spans="38:40" x14ac:dyDescent="0.2">
      <c r="AL279" s="5" t="str">
        <f>AL277&amp;" or "&amp;AL278</f>
        <v>P(x&lt;6.25) or P(x&gt;6.75)</v>
      </c>
      <c r="AM279" s="12">
        <f>SUM(AM277:AM278)</f>
        <v>0.28397677175091168</v>
      </c>
    </row>
    <row r="280" spans="38:40" x14ac:dyDescent="0.2">
      <c r="AL280" s="5" t="str">
        <f>"P("&amp;MIN(AM271,AM272)&amp;"&lt;=x&lt;="&amp;MAX(AM271,AM272)&amp;")"</f>
        <v>P(6.25&lt;=x&lt;=6.75)</v>
      </c>
      <c r="AM280" s="12">
        <f>1-AM279</f>
        <v>0.71602322824908837</v>
      </c>
    </row>
  </sheetData>
  <hyperlinks>
    <hyperlink ref="AN70" location="_z_table" display="per z_table" xr:uid="{F756B04F-76D5-4A01-874C-7912A3C2FB4A}"/>
    <hyperlink ref="AN82" location="_z_table" display="per z_table" xr:uid="{B137DB40-1CE1-4377-83D0-09CFA6F20280}"/>
    <hyperlink ref="AN94" location="_z_table" display="per z_table" xr:uid="{C3D1BA09-1DCA-4C40-8C05-DE0CD283556A}"/>
    <hyperlink ref="AN95" location="_z_table" display="per z_table" xr:uid="{F3ECAB38-F7A5-4EC1-83E7-B68C086A3D55}"/>
    <hyperlink ref="AN115" location="_z_table" display="per z_table" xr:uid="{060E1F9E-CD5F-4376-B035-FB336213B02B}"/>
    <hyperlink ref="AN127" location="_z_table" display="per z_table" xr:uid="{EF0EC82B-8B2D-4E11-8A58-C7A08837B9A1}"/>
    <hyperlink ref="AN139" location="_z_table" display="per z_table" xr:uid="{B685BD33-48D2-4367-8BDF-D2153B916CD7}"/>
    <hyperlink ref="AN140" location="_z_table" display="per z_table" xr:uid="{33A9952F-6761-4582-AD2C-3BB3FEED56B0}"/>
    <hyperlink ref="AM158" location="_z_table" display="per z_table" xr:uid="{93564955-80B2-4E68-B2C8-2CCB2379B377}"/>
    <hyperlink ref="AM170" location="_z_table" display="per z_table" xr:uid="{04D1D377-714A-4603-9B63-3AFF83C91E8E}"/>
    <hyperlink ref="AM182" location="_z_table" display="per z_table" xr:uid="{DC763B6B-F424-4D95-98E4-95ED036BD23D}"/>
    <hyperlink ref="AM183" location="_z_table" display="per z_table" xr:uid="{11A19214-5D32-498B-8348-4550F3C76E1A}"/>
    <hyperlink ref="AN204" location="_z_table" display="per z_table" xr:uid="{28640E1C-E054-4E1B-99CE-AED1295B146C}"/>
    <hyperlink ref="AN216" location="_z_table" display="per z_table" xr:uid="{E07F3C48-B165-48CE-8D98-D99E53759B60}"/>
    <hyperlink ref="AN228" location="_z_table" display="per z_table" xr:uid="{230808E0-70B9-4F39-8A26-3F3F45967365}"/>
    <hyperlink ref="AN229" location="_z_table" display="per z_table" xr:uid="{38D85396-A037-4517-B312-DC54E31D7D82}"/>
    <hyperlink ref="AN251" location="_z_table" display="per z_table" xr:uid="{4378B9A7-EC0C-4D96-A9DC-46A392630791}"/>
    <hyperlink ref="AN263" location="_z_table" display="per z_table" xr:uid="{EB7672CE-5BB7-4CC8-9071-08413896F798}"/>
    <hyperlink ref="AN275" location="_z_table" display="per z_table" xr:uid="{335CB92F-2A5D-4217-BF94-F6863DC54CFB}"/>
    <hyperlink ref="AN276" location="_z_table" display="per z_table" xr:uid="{C5EA15F4-221C-4B99-B187-21B8827EC27A}"/>
    <hyperlink ref="L48" location="_z_table" display="per z_table" xr:uid="{7B1D1C73-25F3-4883-B921-E5FEDA637779}"/>
    <hyperlink ref="L60" location="_z_table" display="per z_table" xr:uid="{623142BF-0944-462A-BFD4-E1479F50559F}"/>
    <hyperlink ref="L72" location="_z_table" display="per z_table" xr:uid="{0B38E78A-1E78-4C1A-AF31-34C5AFDB5F6A}"/>
    <hyperlink ref="L73" location="_z_table" display="per z_table" xr:uid="{9C683C43-19D1-4327-A0B6-2FFDBE4191A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D875A-0D7A-45A9-8458-D1A900861E95}">
  <dimension ref="A1:AF242"/>
  <sheetViews>
    <sheetView workbookViewId="0"/>
  </sheetViews>
  <sheetFormatPr defaultRowHeight="12" x14ac:dyDescent="0.2"/>
  <cols>
    <col min="19" max="19" width="9.42578125" bestFit="1" customWidth="1"/>
    <col min="22" max="22" width="9.42578125" bestFit="1" customWidth="1"/>
    <col min="29" max="29" width="9.42578125" bestFit="1" customWidth="1"/>
  </cols>
  <sheetData>
    <row r="1" spans="1:23" x14ac:dyDescent="0.2">
      <c r="A1" s="17" t="s">
        <v>363</v>
      </c>
      <c r="R1" s="17" t="s">
        <v>384</v>
      </c>
    </row>
    <row r="2" spans="1:23" x14ac:dyDescent="0.2">
      <c r="A2" t="s">
        <v>364</v>
      </c>
      <c r="S2" s="12">
        <f>V15</f>
        <v>1.5811388300841898</v>
      </c>
      <c r="T2" t="s">
        <v>366</v>
      </c>
    </row>
    <row r="3" spans="1:23" x14ac:dyDescent="0.2">
      <c r="T3" t="s">
        <v>367</v>
      </c>
    </row>
    <row r="4" spans="1:23" x14ac:dyDescent="0.2">
      <c r="U4" s="20" t="s">
        <v>370</v>
      </c>
    </row>
    <row r="5" spans="1:23" x14ac:dyDescent="0.2">
      <c r="U5" s="20" t="s">
        <v>369</v>
      </c>
    </row>
    <row r="6" spans="1:23" x14ac:dyDescent="0.2">
      <c r="T6" t="s">
        <v>368</v>
      </c>
    </row>
    <row r="7" spans="1:23" x14ac:dyDescent="0.2">
      <c r="U7" s="25" t="s">
        <v>203</v>
      </c>
      <c r="V7" s="12">
        <f>V20</f>
        <v>16.901024838477191</v>
      </c>
    </row>
    <row r="8" spans="1:23" x14ac:dyDescent="0.2">
      <c r="U8" s="25" t="s">
        <v>204</v>
      </c>
      <c r="V8" s="12">
        <f>V21</f>
        <v>23.098975161522809</v>
      </c>
    </row>
    <row r="10" spans="1:23" x14ac:dyDescent="0.2">
      <c r="T10" s="17" t="s">
        <v>375</v>
      </c>
    </row>
    <row r="11" spans="1:23" x14ac:dyDescent="0.2">
      <c r="A11" t="s">
        <v>365</v>
      </c>
      <c r="U11" s="5" t="s">
        <v>324</v>
      </c>
      <c r="V11" s="98">
        <v>25</v>
      </c>
      <c r="W11" s="45" t="s">
        <v>5</v>
      </c>
    </row>
    <row r="12" spans="1:23" x14ac:dyDescent="0.2">
      <c r="U12" s="5" t="s">
        <v>326</v>
      </c>
      <c r="V12" s="87">
        <v>250</v>
      </c>
      <c r="W12" s="45" t="s">
        <v>43</v>
      </c>
    </row>
    <row r="13" spans="1:23" x14ac:dyDescent="0.2">
      <c r="U13" s="5" t="s">
        <v>332</v>
      </c>
      <c r="V13" s="87">
        <v>20</v>
      </c>
      <c r="W13" s="45" t="s">
        <v>329</v>
      </c>
    </row>
    <row r="14" spans="1:23" x14ac:dyDescent="0.2">
      <c r="U14" s="5" t="s">
        <v>323</v>
      </c>
      <c r="V14" s="90">
        <f>V11^2</f>
        <v>625</v>
      </c>
      <c r="W14" s="45" t="s">
        <v>85</v>
      </c>
    </row>
    <row r="15" spans="1:23" x14ac:dyDescent="0.2">
      <c r="U15" s="5" t="s">
        <v>321</v>
      </c>
      <c r="V15" s="12">
        <f>V11/SQRT(V12)</f>
        <v>1.5811388300841898</v>
      </c>
      <c r="W15" s="45" t="s">
        <v>327</v>
      </c>
    </row>
    <row r="16" spans="1:23" x14ac:dyDescent="0.2">
      <c r="U16" s="5" t="s">
        <v>371</v>
      </c>
      <c r="V16" s="96">
        <v>0.95</v>
      </c>
    </row>
    <row r="17" spans="18:31" x14ac:dyDescent="0.2">
      <c r="U17" s="5" t="s">
        <v>268</v>
      </c>
      <c r="V17" s="12">
        <f>V16/2</f>
        <v>0.47499999999999998</v>
      </c>
    </row>
    <row r="18" spans="18:31" x14ac:dyDescent="0.2">
      <c r="U18" s="5" t="s">
        <v>174</v>
      </c>
      <c r="V18" s="87">
        <v>1.96</v>
      </c>
      <c r="W18" s="92" t="s">
        <v>269</v>
      </c>
    </row>
    <row r="19" spans="18:31" x14ac:dyDescent="0.2">
      <c r="U19" s="5" t="s">
        <v>374</v>
      </c>
      <c r="V19" s="99">
        <f>1-V16</f>
        <v>5.0000000000000044E-2</v>
      </c>
    </row>
    <row r="20" spans="18:31" x14ac:dyDescent="0.2">
      <c r="U20" s="5" t="s">
        <v>373</v>
      </c>
      <c r="V20" s="12">
        <f>V13-_xlfn.CONFIDENCE.NORM(V19,V11,V12)</f>
        <v>16.901024838477191</v>
      </c>
    </row>
    <row r="21" spans="18:31" x14ac:dyDescent="0.2">
      <c r="U21" s="5" t="s">
        <v>372</v>
      </c>
      <c r="V21" s="12">
        <f>V13+_xlfn.CONFIDENCE.NORM(V19,V11,V12)</f>
        <v>23.098975161522809</v>
      </c>
    </row>
    <row r="22" spans="18:31" x14ac:dyDescent="0.2">
      <c r="T22" s="17"/>
    </row>
    <row r="23" spans="18:31" x14ac:dyDescent="0.2">
      <c r="R23" s="17" t="s">
        <v>381</v>
      </c>
      <c r="S23" s="17"/>
      <c r="T23" s="17"/>
      <c r="AB23" s="17" t="s">
        <v>375</v>
      </c>
    </row>
    <row r="24" spans="18:31" x14ac:dyDescent="0.2">
      <c r="R24" s="17"/>
      <c r="S24" s="17" t="s">
        <v>376</v>
      </c>
      <c r="T24" s="17"/>
      <c r="AC24" t="s">
        <v>325</v>
      </c>
      <c r="AD24" s="85"/>
      <c r="AE24" t="s">
        <v>4</v>
      </c>
    </row>
    <row r="25" spans="18:31" x14ac:dyDescent="0.2">
      <c r="R25" s="17"/>
      <c r="S25" s="17" t="s">
        <v>377</v>
      </c>
      <c r="T25" s="17"/>
      <c r="AC25" s="5" t="s">
        <v>382</v>
      </c>
      <c r="AD25" s="12">
        <f>IF(AD24="",AD28,AD24)</f>
        <v>20</v>
      </c>
      <c r="AE25" t="s">
        <v>4</v>
      </c>
    </row>
    <row r="26" spans="18:31" x14ac:dyDescent="0.2">
      <c r="R26" s="17"/>
      <c r="S26" s="17" t="s">
        <v>378</v>
      </c>
      <c r="T26" s="17"/>
      <c r="AC26" s="5" t="s">
        <v>324</v>
      </c>
      <c r="AD26" s="98">
        <v>5</v>
      </c>
      <c r="AE26" s="45" t="s">
        <v>5</v>
      </c>
    </row>
    <row r="27" spans="18:31" x14ac:dyDescent="0.2">
      <c r="T27" s="17"/>
      <c r="AC27" s="5" t="s">
        <v>326</v>
      </c>
      <c r="AD27" s="87">
        <v>49</v>
      </c>
      <c r="AE27" s="45" t="s">
        <v>43</v>
      </c>
    </row>
    <row r="28" spans="18:31" x14ac:dyDescent="0.2">
      <c r="S28" t="s">
        <v>379</v>
      </c>
      <c r="Z28" s="31">
        <f>AD25</f>
        <v>20</v>
      </c>
      <c r="AC28" s="5" t="s">
        <v>332</v>
      </c>
      <c r="AD28" s="87">
        <v>20</v>
      </c>
      <c r="AE28" s="45" t="s">
        <v>329</v>
      </c>
    </row>
    <row r="29" spans="18:31" x14ac:dyDescent="0.2">
      <c r="T29" s="20" t="s">
        <v>383</v>
      </c>
      <c r="AC29" s="5" t="s">
        <v>323</v>
      </c>
      <c r="AD29" s="90">
        <f>AD26^2</f>
        <v>25</v>
      </c>
      <c r="AE29" s="45" t="s">
        <v>85</v>
      </c>
    </row>
    <row r="30" spans="18:31" x14ac:dyDescent="0.2">
      <c r="S30" t="s">
        <v>380</v>
      </c>
      <c r="AC30" s="5" t="s">
        <v>321</v>
      </c>
      <c r="AD30" s="12">
        <f>AD26/SQRT(AD27)</f>
        <v>0.7142857142857143</v>
      </c>
      <c r="AE30" s="45" t="s">
        <v>327</v>
      </c>
    </row>
    <row r="31" spans="18:31" x14ac:dyDescent="0.2">
      <c r="T31" s="25" t="s">
        <v>203</v>
      </c>
      <c r="U31" s="31">
        <f>AD35</f>
        <v>18.600025725328532</v>
      </c>
      <c r="AC31" s="5" t="s">
        <v>371</v>
      </c>
      <c r="AD31" s="96">
        <v>0.95</v>
      </c>
    </row>
    <row r="32" spans="18:31" x14ac:dyDescent="0.2">
      <c r="T32" s="25" t="s">
        <v>204</v>
      </c>
      <c r="U32" s="31">
        <f>AD36</f>
        <v>21.399974274671468</v>
      </c>
      <c r="AC32" s="5" t="s">
        <v>268</v>
      </c>
      <c r="AD32" s="12">
        <f>AD31/2</f>
        <v>0.47499999999999998</v>
      </c>
    </row>
    <row r="33" spans="1:31" x14ac:dyDescent="0.2">
      <c r="AC33" s="5" t="s">
        <v>174</v>
      </c>
      <c r="AD33" s="87">
        <v>1.96</v>
      </c>
      <c r="AE33" s="92" t="s">
        <v>269</v>
      </c>
    </row>
    <row r="34" spans="1:31" x14ac:dyDescent="0.2">
      <c r="AC34" s="5" t="s">
        <v>374</v>
      </c>
      <c r="AD34" s="99">
        <f>1-AD31</f>
        <v>5.0000000000000044E-2</v>
      </c>
    </row>
    <row r="35" spans="1:31" x14ac:dyDescent="0.2">
      <c r="AC35" s="5" t="s">
        <v>373</v>
      </c>
      <c r="AD35" s="12">
        <f>AD28-_xlfn.CONFIDENCE.NORM(AD34,AD26,AD27)</f>
        <v>18.600025725328532</v>
      </c>
    </row>
    <row r="36" spans="1:31" x14ac:dyDescent="0.2">
      <c r="A36" t="s">
        <v>406</v>
      </c>
      <c r="AC36" s="5" t="s">
        <v>372</v>
      </c>
      <c r="AD36" s="12">
        <f>AD28+_xlfn.CONFIDENCE.NORM(AD34,AD26,AD27)</f>
        <v>21.399974274671468</v>
      </c>
    </row>
    <row r="42" spans="1:31" x14ac:dyDescent="0.2">
      <c r="U42" s="5"/>
      <c r="V42" s="12"/>
    </row>
    <row r="43" spans="1:31" x14ac:dyDescent="0.2">
      <c r="A43" t="s">
        <v>430</v>
      </c>
      <c r="R43" s="17" t="s">
        <v>393</v>
      </c>
      <c r="Z43" s="17" t="s">
        <v>375</v>
      </c>
    </row>
    <row r="44" spans="1:31" x14ac:dyDescent="0.2">
      <c r="B44" s="17"/>
      <c r="S44" t="s">
        <v>385</v>
      </c>
      <c r="AA44" t="s">
        <v>325</v>
      </c>
      <c r="AB44" s="85"/>
      <c r="AC44" t="s">
        <v>4</v>
      </c>
    </row>
    <row r="45" spans="1:31" x14ac:dyDescent="0.2">
      <c r="S45" t="s">
        <v>386</v>
      </c>
      <c r="AA45" s="5" t="s">
        <v>382</v>
      </c>
      <c r="AB45" s="12">
        <f>IF(AB44="",AB48,AB44)</f>
        <v>8.6</v>
      </c>
      <c r="AC45" t="s">
        <v>4</v>
      </c>
    </row>
    <row r="46" spans="1:31" x14ac:dyDescent="0.2">
      <c r="S46" t="s">
        <v>387</v>
      </c>
      <c r="AA46" s="5" t="s">
        <v>324</v>
      </c>
      <c r="AB46" s="98">
        <v>2.2999999999999998</v>
      </c>
      <c r="AC46" s="45" t="s">
        <v>5</v>
      </c>
    </row>
    <row r="47" spans="1:31" x14ac:dyDescent="0.2">
      <c r="S47" t="s">
        <v>388</v>
      </c>
      <c r="U47" s="5"/>
      <c r="V47" s="12"/>
      <c r="AA47" s="5" t="s">
        <v>326</v>
      </c>
      <c r="AB47" s="87">
        <v>60</v>
      </c>
      <c r="AC47" s="45" t="s">
        <v>43</v>
      </c>
    </row>
    <row r="48" spans="1:31" x14ac:dyDescent="0.2">
      <c r="S48" t="s">
        <v>389</v>
      </c>
      <c r="U48" s="5"/>
      <c r="V48" s="12"/>
      <c r="AA48" s="5" t="s">
        <v>332</v>
      </c>
      <c r="AB48" s="87">
        <v>8.6</v>
      </c>
      <c r="AC48" s="45" t="s">
        <v>329</v>
      </c>
    </row>
    <row r="49" spans="18:31" x14ac:dyDescent="0.2">
      <c r="S49" s="12">
        <f>AB48</f>
        <v>8.6</v>
      </c>
      <c r="T49" t="s">
        <v>390</v>
      </c>
      <c r="AA49" s="5" t="s">
        <v>323</v>
      </c>
      <c r="AB49" s="90">
        <f>AB46^2</f>
        <v>5.2899999999999991</v>
      </c>
      <c r="AC49" s="45" t="s">
        <v>85</v>
      </c>
    </row>
    <row r="50" spans="18:31" x14ac:dyDescent="0.2">
      <c r="T50" t="s">
        <v>391</v>
      </c>
      <c r="AA50" s="5" t="s">
        <v>321</v>
      </c>
      <c r="AB50" s="12">
        <f>AB46/SQRT(AB47)</f>
        <v>0.29692872320923525</v>
      </c>
      <c r="AC50" s="45" t="s">
        <v>327</v>
      </c>
    </row>
    <row r="51" spans="18:31" x14ac:dyDescent="0.2">
      <c r="T51" s="25" t="s">
        <v>203</v>
      </c>
      <c r="U51" s="31">
        <f>AB55</f>
        <v>7.8351622936922913</v>
      </c>
      <c r="AA51" s="5" t="s">
        <v>371</v>
      </c>
      <c r="AB51" s="96">
        <v>0.99</v>
      </c>
    </row>
    <row r="52" spans="18:31" x14ac:dyDescent="0.2">
      <c r="T52" s="25" t="s">
        <v>204</v>
      </c>
      <c r="U52" s="31">
        <f>AB56</f>
        <v>9.3648377063077088</v>
      </c>
      <c r="AA52" s="5" t="s">
        <v>268</v>
      </c>
      <c r="AB52" s="12">
        <f>AB51/2</f>
        <v>0.495</v>
      </c>
    </row>
    <row r="53" spans="18:31" x14ac:dyDescent="0.2">
      <c r="T53" t="s">
        <v>392</v>
      </c>
      <c r="AA53" s="5" t="s">
        <v>174</v>
      </c>
      <c r="AB53" s="87">
        <v>1.96</v>
      </c>
      <c r="AC53" s="92" t="s">
        <v>269</v>
      </c>
    </row>
    <row r="54" spans="18:31" x14ac:dyDescent="0.2">
      <c r="U54" s="20" t="s">
        <v>394</v>
      </c>
      <c r="AA54" s="5" t="s">
        <v>374</v>
      </c>
      <c r="AB54" s="99">
        <f>1-AB51</f>
        <v>1.0000000000000009E-2</v>
      </c>
    </row>
    <row r="55" spans="18:31" x14ac:dyDescent="0.2">
      <c r="U55" s="20" t="s">
        <v>395</v>
      </c>
      <c r="AA55" s="5" t="s">
        <v>373</v>
      </c>
      <c r="AB55" s="12">
        <f>AB48-_xlfn.CONFIDENCE.NORM(AB54,AB46,AB47)</f>
        <v>7.8351622936922913</v>
      </c>
    </row>
    <row r="56" spans="18:31" x14ac:dyDescent="0.2">
      <c r="AA56" s="5" t="s">
        <v>372</v>
      </c>
      <c r="AB56" s="12">
        <f>AB48+_xlfn.CONFIDENCE.NORM(AB54,AB46,AB47)</f>
        <v>9.3648377063077088</v>
      </c>
    </row>
    <row r="59" spans="18:31" x14ac:dyDescent="0.2">
      <c r="R59" s="17" t="s">
        <v>404</v>
      </c>
      <c r="S59" s="17"/>
      <c r="AB59" s="17" t="s">
        <v>407</v>
      </c>
    </row>
    <row r="60" spans="18:31" x14ac:dyDescent="0.2">
      <c r="R60" s="17"/>
      <c r="S60" s="17" t="s">
        <v>396</v>
      </c>
      <c r="AC60" s="5" t="s">
        <v>326</v>
      </c>
      <c r="AD60" s="87">
        <v>20</v>
      </c>
      <c r="AE60" s="45" t="s">
        <v>43</v>
      </c>
    </row>
    <row r="61" spans="18:31" x14ac:dyDescent="0.2">
      <c r="R61" s="17"/>
      <c r="S61" s="17" t="s">
        <v>397</v>
      </c>
      <c r="AC61" s="5" t="s">
        <v>328</v>
      </c>
      <c r="AD61" s="87">
        <v>8.6</v>
      </c>
      <c r="AE61" s="45" t="s">
        <v>329</v>
      </c>
    </row>
    <row r="62" spans="18:31" x14ac:dyDescent="0.2">
      <c r="AC62" s="5" t="s">
        <v>405</v>
      </c>
      <c r="AD62" s="87">
        <v>2</v>
      </c>
      <c r="AE62" s="45" t="s">
        <v>45</v>
      </c>
    </row>
    <row r="63" spans="18:31" x14ac:dyDescent="0.2">
      <c r="R63" s="12">
        <f>AD68</f>
        <v>8.6</v>
      </c>
      <c r="S63" t="s">
        <v>398</v>
      </c>
      <c r="AC63" s="5" t="s">
        <v>371</v>
      </c>
      <c r="AD63" s="96">
        <v>0.95</v>
      </c>
    </row>
    <row r="64" spans="18:31" x14ac:dyDescent="0.2">
      <c r="T64" s="20" t="s">
        <v>412</v>
      </c>
      <c r="AC64" s="5" t="s">
        <v>410</v>
      </c>
      <c r="AD64" s="12">
        <f>AD60-1</f>
        <v>19</v>
      </c>
      <c r="AE64" t="s">
        <v>411</v>
      </c>
    </row>
    <row r="65" spans="1:31" x14ac:dyDescent="0.2">
      <c r="S65" t="s">
        <v>399</v>
      </c>
      <c r="AC65" s="5" t="s">
        <v>408</v>
      </c>
      <c r="AD65" s="87">
        <v>2.093</v>
      </c>
      <c r="AE65" s="92" t="s">
        <v>409</v>
      </c>
    </row>
    <row r="66" spans="1:31" x14ac:dyDescent="0.2">
      <c r="AC66" s="5" t="s">
        <v>374</v>
      </c>
      <c r="AD66" s="99">
        <f>1-AD63</f>
        <v>5.0000000000000044E-2</v>
      </c>
    </row>
    <row r="67" spans="1:31" x14ac:dyDescent="0.2">
      <c r="AC67" s="5" t="s">
        <v>413</v>
      </c>
      <c r="AD67" s="12">
        <f>_xlfn.CONFIDENCE.T(AD66,AD62,AD60)</f>
        <v>0.9360288128398393</v>
      </c>
      <c r="AE67" s="8" t="s">
        <v>414</v>
      </c>
    </row>
    <row r="68" spans="1:31" x14ac:dyDescent="0.2">
      <c r="R68" s="12">
        <f>AD65</f>
        <v>2.093</v>
      </c>
      <c r="S68" t="s">
        <v>400</v>
      </c>
      <c r="AC68" s="5" t="s">
        <v>382</v>
      </c>
      <c r="AD68" s="12">
        <f>AD61</f>
        <v>8.6</v>
      </c>
      <c r="AE68" t="s">
        <v>4</v>
      </c>
    </row>
    <row r="69" spans="1:31" x14ac:dyDescent="0.2">
      <c r="S69" t="s">
        <v>401</v>
      </c>
    </row>
    <row r="70" spans="1:31" x14ac:dyDescent="0.2">
      <c r="S70" t="s">
        <v>402</v>
      </c>
      <c r="AC70" s="5" t="s">
        <v>373</v>
      </c>
      <c r="AD70" s="12">
        <f>AD61-_xlfn.CONFIDENCE.T(AD66,AD62,AD60)</f>
        <v>7.6639711871601603</v>
      </c>
      <c r="AE70" t="s">
        <v>415</v>
      </c>
    </row>
    <row r="71" spans="1:31" x14ac:dyDescent="0.2">
      <c r="S71" t="s">
        <v>403</v>
      </c>
      <c r="AC71" s="5" t="s">
        <v>372</v>
      </c>
      <c r="AD71" s="12">
        <f>AD61+_xlfn.CONFIDENCE.T(AD66,AD62,AD60)</f>
        <v>9.5360288128398381</v>
      </c>
      <c r="AE71" t="s">
        <v>416</v>
      </c>
    </row>
    <row r="73" spans="1:31" x14ac:dyDescent="0.2">
      <c r="A73" t="s">
        <v>449</v>
      </c>
    </row>
    <row r="74" spans="1:31" x14ac:dyDescent="0.2">
      <c r="R74" s="17" t="s">
        <v>423</v>
      </c>
      <c r="S74" s="17"/>
      <c r="AA74" s="17" t="s">
        <v>407</v>
      </c>
    </row>
    <row r="75" spans="1:31" x14ac:dyDescent="0.2">
      <c r="R75" s="17"/>
      <c r="S75" s="17" t="s">
        <v>417</v>
      </c>
      <c r="AB75" s="5" t="s">
        <v>326</v>
      </c>
      <c r="AC75" s="87">
        <f>COUNT(S81:T85)</f>
        <v>10</v>
      </c>
      <c r="AD75" s="45" t="s">
        <v>43</v>
      </c>
    </row>
    <row r="76" spans="1:31" x14ac:dyDescent="0.2">
      <c r="R76" s="17"/>
      <c r="S76" s="17" t="s">
        <v>418</v>
      </c>
      <c r="AB76" s="5" t="s">
        <v>328</v>
      </c>
      <c r="AC76" s="87">
        <f>AVERAGE(S81:T85)</f>
        <v>98.6</v>
      </c>
      <c r="AD76" s="45" t="s">
        <v>329</v>
      </c>
    </row>
    <row r="77" spans="1:31" x14ac:dyDescent="0.2">
      <c r="R77" s="17"/>
      <c r="S77" s="17" t="s">
        <v>419</v>
      </c>
      <c r="AB77" s="5" t="s">
        <v>405</v>
      </c>
      <c r="AC77" s="87">
        <f>_xlfn.STDEV.S(S81:T85)</f>
        <v>5.5417606508321082</v>
      </c>
      <c r="AD77" s="45" t="s">
        <v>45</v>
      </c>
    </row>
    <row r="78" spans="1:31" x14ac:dyDescent="0.2">
      <c r="R78" s="17"/>
      <c r="S78" s="17" t="s">
        <v>420</v>
      </c>
      <c r="AB78" s="5" t="s">
        <v>371</v>
      </c>
      <c r="AC78" s="96">
        <v>0.9</v>
      </c>
    </row>
    <row r="79" spans="1:31" x14ac:dyDescent="0.2">
      <c r="R79" s="17"/>
      <c r="S79" s="17" t="s">
        <v>421</v>
      </c>
      <c r="AB79" s="5" t="s">
        <v>410</v>
      </c>
      <c r="AC79" s="12">
        <f>AC75-1</f>
        <v>9</v>
      </c>
      <c r="AD79" t="s">
        <v>411</v>
      </c>
    </row>
    <row r="80" spans="1:31" x14ac:dyDescent="0.2">
      <c r="AB80" s="5" t="s">
        <v>408</v>
      </c>
      <c r="AC80" s="87">
        <v>1.833</v>
      </c>
      <c r="AD80" s="92" t="s">
        <v>409</v>
      </c>
    </row>
    <row r="81" spans="18:30" x14ac:dyDescent="0.2">
      <c r="S81">
        <v>107</v>
      </c>
      <c r="T81">
        <v>101</v>
      </c>
      <c r="AB81" s="5" t="s">
        <v>374</v>
      </c>
      <c r="AC81" s="99">
        <f>1-AC78</f>
        <v>9.9999999999999978E-2</v>
      </c>
    </row>
    <row r="82" spans="18:30" x14ac:dyDescent="0.2">
      <c r="S82">
        <v>92</v>
      </c>
      <c r="T82">
        <v>91</v>
      </c>
      <c r="AB82" s="5" t="s">
        <v>413</v>
      </c>
      <c r="AC82" s="12">
        <f>_xlfn.CONFIDENCE.T(AC81,AC77,AC75)</f>
        <v>3.2124545060299585</v>
      </c>
      <c r="AD82" s="8" t="s">
        <v>414</v>
      </c>
    </row>
    <row r="83" spans="18:30" x14ac:dyDescent="0.2">
      <c r="S83">
        <v>97</v>
      </c>
      <c r="T83">
        <v>99</v>
      </c>
      <c r="AB83" s="5" t="s">
        <v>382</v>
      </c>
      <c r="AC83" s="12">
        <f>AC76</f>
        <v>98.6</v>
      </c>
      <c r="AD83" t="s">
        <v>4</v>
      </c>
    </row>
    <row r="84" spans="18:30" x14ac:dyDescent="0.2">
      <c r="S84">
        <v>95</v>
      </c>
      <c r="T84">
        <v>95</v>
      </c>
    </row>
    <row r="85" spans="18:30" x14ac:dyDescent="0.2">
      <c r="S85">
        <v>105</v>
      </c>
      <c r="T85">
        <v>104</v>
      </c>
      <c r="AB85" s="5" t="s">
        <v>373</v>
      </c>
      <c r="AC85" s="12">
        <f>AC76-_xlfn.CONFIDENCE.T(AC81,AC77,AC75)</f>
        <v>95.387545493970038</v>
      </c>
      <c r="AD85" t="s">
        <v>415</v>
      </c>
    </row>
    <row r="86" spans="18:30" x14ac:dyDescent="0.2">
      <c r="AB86" s="5" t="s">
        <v>372</v>
      </c>
      <c r="AC86" s="12">
        <f>AC76+_xlfn.CONFIDENCE.T(AC81,AC77,AC75)</f>
        <v>101.81245450602995</v>
      </c>
      <c r="AD86" t="s">
        <v>416</v>
      </c>
    </row>
    <row r="87" spans="18:30" x14ac:dyDescent="0.2">
      <c r="S87" t="s">
        <v>422</v>
      </c>
    </row>
    <row r="88" spans="18:30" x14ac:dyDescent="0.2">
      <c r="T88" s="20" t="s">
        <v>203</v>
      </c>
      <c r="U88" s="31">
        <f>AC85</f>
        <v>95.387545493970038</v>
      </c>
    </row>
    <row r="89" spans="18:30" x14ac:dyDescent="0.2">
      <c r="T89" s="20" t="s">
        <v>204</v>
      </c>
      <c r="U89" s="31">
        <f>AC86</f>
        <v>101.81245450602995</v>
      </c>
    </row>
    <row r="91" spans="18:30" x14ac:dyDescent="0.2">
      <c r="R91" s="17" t="s">
        <v>429</v>
      </c>
      <c r="S91" s="17"/>
      <c r="AA91" s="17" t="s">
        <v>431</v>
      </c>
    </row>
    <row r="92" spans="18:30" x14ac:dyDescent="0.2">
      <c r="R92" s="17"/>
      <c r="S92" s="17" t="s">
        <v>424</v>
      </c>
      <c r="AB92" s="5" t="s">
        <v>326</v>
      </c>
      <c r="AC92" s="87">
        <v>100</v>
      </c>
      <c r="AD92" s="45" t="s">
        <v>43</v>
      </c>
    </row>
    <row r="93" spans="18:30" x14ac:dyDescent="0.2">
      <c r="R93" s="17"/>
      <c r="S93" s="17" t="s">
        <v>425</v>
      </c>
      <c r="AB93" s="5" t="s">
        <v>432</v>
      </c>
      <c r="AC93" s="87">
        <v>85</v>
      </c>
      <c r="AD93" s="45"/>
    </row>
    <row r="94" spans="18:30" x14ac:dyDescent="0.2">
      <c r="AB94" s="5" t="s">
        <v>434</v>
      </c>
      <c r="AC94" s="102">
        <f>AC93/AC92</f>
        <v>0.85</v>
      </c>
      <c r="AD94" s="45" t="s">
        <v>433</v>
      </c>
    </row>
    <row r="95" spans="18:30" x14ac:dyDescent="0.2">
      <c r="R95" s="101">
        <f>AC94</f>
        <v>0.85</v>
      </c>
      <c r="S95" t="s">
        <v>426</v>
      </c>
      <c r="AB95" s="5" t="s">
        <v>371</v>
      </c>
      <c r="AC95" s="96">
        <v>0.95</v>
      </c>
    </row>
    <row r="96" spans="18:30" x14ac:dyDescent="0.2">
      <c r="S96" t="s">
        <v>427</v>
      </c>
      <c r="AB96" s="5" t="s">
        <v>410</v>
      </c>
      <c r="AC96" s="12">
        <f>AC92-1</f>
        <v>99</v>
      </c>
      <c r="AD96" t="s">
        <v>411</v>
      </c>
    </row>
    <row r="97" spans="1:32" x14ac:dyDescent="0.2">
      <c r="S97" s="25" t="s">
        <v>203</v>
      </c>
      <c r="T97" s="100">
        <f>AC101</f>
        <v>0.7800140014002801</v>
      </c>
      <c r="AB97" s="5" t="s">
        <v>174</v>
      </c>
      <c r="AC97" s="87">
        <v>1.96</v>
      </c>
      <c r="AD97" s="92" t="s">
        <v>269</v>
      </c>
    </row>
    <row r="98" spans="1:32" x14ac:dyDescent="0.2">
      <c r="S98" s="25" t="s">
        <v>204</v>
      </c>
      <c r="T98" s="100">
        <f>AC102</f>
        <v>0.91998599859971986</v>
      </c>
      <c r="AB98" s="5" t="s">
        <v>374</v>
      </c>
      <c r="AC98" s="99">
        <f>1-AC95</f>
        <v>5.0000000000000044E-2</v>
      </c>
    </row>
    <row r="99" spans="1:32" x14ac:dyDescent="0.2">
      <c r="AB99" s="5" t="s">
        <v>413</v>
      </c>
      <c r="AC99" s="12">
        <f>AC97*SQRT((AC94*(1-AC94)/AC92))</f>
        <v>6.9985998599719934E-2</v>
      </c>
      <c r="AD99" s="8" t="s">
        <v>435</v>
      </c>
    </row>
    <row r="100" spans="1:32" x14ac:dyDescent="0.2">
      <c r="A100" t="s">
        <v>465</v>
      </c>
      <c r="S100" t="s">
        <v>428</v>
      </c>
      <c r="AB100" s="5"/>
      <c r="AC100" s="12"/>
    </row>
    <row r="101" spans="1:32" x14ac:dyDescent="0.2">
      <c r="T101" s="20" t="s">
        <v>436</v>
      </c>
      <c r="AB101" s="5" t="s">
        <v>373</v>
      </c>
      <c r="AC101" s="12">
        <f>AC94-AC99</f>
        <v>0.7800140014002801</v>
      </c>
      <c r="AD101" t="s">
        <v>415</v>
      </c>
    </row>
    <row r="102" spans="1:32" x14ac:dyDescent="0.2">
      <c r="T102" s="20" t="s">
        <v>437</v>
      </c>
      <c r="AB102" s="5" t="s">
        <v>372</v>
      </c>
      <c r="AC102" s="12">
        <f>AC94+AC99</f>
        <v>0.91998599859971986</v>
      </c>
      <c r="AD102" t="s">
        <v>416</v>
      </c>
    </row>
    <row r="105" spans="1:32" x14ac:dyDescent="0.2">
      <c r="R105" s="17" t="s">
        <v>443</v>
      </c>
      <c r="S105" s="17"/>
      <c r="AC105" s="17" t="s">
        <v>431</v>
      </c>
    </row>
    <row r="106" spans="1:32" x14ac:dyDescent="0.2">
      <c r="R106" s="17"/>
      <c r="S106" s="17" t="s">
        <v>438</v>
      </c>
      <c r="AD106" s="5" t="s">
        <v>326</v>
      </c>
      <c r="AE106" s="87">
        <v>400</v>
      </c>
      <c r="AF106" s="45" t="s">
        <v>43</v>
      </c>
    </row>
    <row r="107" spans="1:32" x14ac:dyDescent="0.2">
      <c r="R107" s="17"/>
      <c r="S107" s="17" t="s">
        <v>439</v>
      </c>
      <c r="AD107" s="5" t="s">
        <v>432</v>
      </c>
      <c r="AE107" s="87">
        <v>250</v>
      </c>
      <c r="AF107" s="45"/>
    </row>
    <row r="108" spans="1:32" x14ac:dyDescent="0.2">
      <c r="R108" s="17"/>
      <c r="S108" s="17" t="s">
        <v>440</v>
      </c>
      <c r="AD108" s="5" t="s">
        <v>434</v>
      </c>
      <c r="AE108" s="102">
        <f>AE107/AE106</f>
        <v>0.625</v>
      </c>
      <c r="AF108" s="45" t="s">
        <v>433</v>
      </c>
    </row>
    <row r="109" spans="1:32" x14ac:dyDescent="0.2">
      <c r="AD109" s="5" t="s">
        <v>371</v>
      </c>
      <c r="AE109" s="96">
        <v>0.99</v>
      </c>
    </row>
    <row r="110" spans="1:32" x14ac:dyDescent="0.2">
      <c r="R110" s="1">
        <f>AE108</f>
        <v>0.625</v>
      </c>
      <c r="S110" t="s">
        <v>441</v>
      </c>
      <c r="AD110" s="5" t="s">
        <v>410</v>
      </c>
      <c r="AE110" s="12">
        <f>AE106-1</f>
        <v>399</v>
      </c>
      <c r="AF110" t="s">
        <v>411</v>
      </c>
    </row>
    <row r="111" spans="1:32" x14ac:dyDescent="0.2">
      <c r="S111" t="s">
        <v>442</v>
      </c>
      <c r="AD111" s="5" t="s">
        <v>174</v>
      </c>
      <c r="AE111" s="87">
        <v>2.5750000000000002</v>
      </c>
      <c r="AF111" s="92" t="s">
        <v>269</v>
      </c>
    </row>
    <row r="112" spans="1:32" x14ac:dyDescent="0.2">
      <c r="T112" s="25" t="s">
        <v>203</v>
      </c>
      <c r="U112" s="1">
        <f>AE115</f>
        <v>0.56266917427197438</v>
      </c>
      <c r="AD112" s="5" t="s">
        <v>374</v>
      </c>
      <c r="AE112" s="99">
        <f>1-AE109</f>
        <v>1.0000000000000009E-2</v>
      </c>
    </row>
    <row r="113" spans="18:32" x14ac:dyDescent="0.2">
      <c r="T113" s="25" t="s">
        <v>204</v>
      </c>
      <c r="U113" s="1">
        <f>AE116</f>
        <v>0.68733082572802562</v>
      </c>
      <c r="AD113" s="5" t="s">
        <v>413</v>
      </c>
      <c r="AE113" s="12">
        <f>AE111*SQRT((AE108*(1-AE108)/AE106))</f>
        <v>6.2330825728025625E-2</v>
      </c>
      <c r="AF113" s="8" t="s">
        <v>435</v>
      </c>
    </row>
    <row r="114" spans="18:32" x14ac:dyDescent="0.2">
      <c r="S114" t="s">
        <v>428</v>
      </c>
      <c r="AD114" s="5"/>
      <c r="AE114" s="12"/>
    </row>
    <row r="115" spans="18:32" x14ac:dyDescent="0.2">
      <c r="T115" s="20" t="s">
        <v>444</v>
      </c>
      <c r="AD115" s="5" t="s">
        <v>373</v>
      </c>
      <c r="AE115" s="12">
        <f>AE108-AE113</f>
        <v>0.56266917427197438</v>
      </c>
      <c r="AF115" t="s">
        <v>415</v>
      </c>
    </row>
    <row r="116" spans="18:32" x14ac:dyDescent="0.2">
      <c r="T116" s="20" t="s">
        <v>445</v>
      </c>
      <c r="AD116" s="5" t="s">
        <v>372</v>
      </c>
      <c r="AE116" s="12">
        <f>AE108+AE113</f>
        <v>0.68733082572802562</v>
      </c>
      <c r="AF116" t="s">
        <v>416</v>
      </c>
    </row>
    <row r="118" spans="18:32" x14ac:dyDescent="0.2">
      <c r="R118" s="17" t="s">
        <v>448</v>
      </c>
      <c r="S118" s="17"/>
    </row>
    <row r="119" spans="18:32" x14ac:dyDescent="0.2">
      <c r="R119" s="17"/>
      <c r="S119" s="17" t="s">
        <v>446</v>
      </c>
      <c r="AA119" s="17" t="s">
        <v>463</v>
      </c>
    </row>
    <row r="120" spans="18:32" x14ac:dyDescent="0.2">
      <c r="R120" s="17"/>
      <c r="S120" s="17" t="s">
        <v>447</v>
      </c>
      <c r="AC120" s="5" t="s">
        <v>451</v>
      </c>
      <c r="AD120" s="87">
        <v>0.05</v>
      </c>
      <c r="AE120" t="s">
        <v>450</v>
      </c>
    </row>
    <row r="121" spans="18:32" x14ac:dyDescent="0.2">
      <c r="S121" s="12">
        <f>AD124</f>
        <v>196</v>
      </c>
      <c r="AC121" s="5" t="s">
        <v>454</v>
      </c>
      <c r="AD121" s="96">
        <v>0.95</v>
      </c>
    </row>
    <row r="122" spans="18:32" x14ac:dyDescent="0.2">
      <c r="AC122" s="5" t="s">
        <v>455</v>
      </c>
      <c r="AD122" s="87">
        <v>0.15</v>
      </c>
      <c r="AE122" t="s">
        <v>76</v>
      </c>
    </row>
    <row r="123" spans="18:32" x14ac:dyDescent="0.2">
      <c r="AC123" s="5" t="s">
        <v>452</v>
      </c>
      <c r="AD123" s="87">
        <v>1.96</v>
      </c>
      <c r="AE123" t="s">
        <v>0</v>
      </c>
      <c r="AF123" s="92" t="s">
        <v>269</v>
      </c>
    </row>
    <row r="124" spans="18:32" x14ac:dyDescent="0.2">
      <c r="AC124" s="5" t="s">
        <v>453</v>
      </c>
      <c r="AD124" s="12">
        <f>ROUNDUP(AD122*(1-AD122)*(AD123 / AD120)^2,0)</f>
        <v>196</v>
      </c>
      <c r="AE124" t="s">
        <v>43</v>
      </c>
      <c r="AF124" s="8" t="s">
        <v>456</v>
      </c>
    </row>
    <row r="126" spans="18:32" x14ac:dyDescent="0.2">
      <c r="R126" s="17" t="s">
        <v>462</v>
      </c>
      <c r="S126" s="17"/>
    </row>
    <row r="127" spans="18:32" x14ac:dyDescent="0.2">
      <c r="R127" s="17"/>
      <c r="S127" s="17" t="s">
        <v>457</v>
      </c>
      <c r="AA127" s="17" t="s">
        <v>467</v>
      </c>
    </row>
    <row r="128" spans="18:32" x14ac:dyDescent="0.2">
      <c r="R128" s="17"/>
      <c r="S128" s="17" t="s">
        <v>458</v>
      </c>
      <c r="AC128" s="5" t="s">
        <v>326</v>
      </c>
      <c r="AD128" s="87">
        <v>10</v>
      </c>
      <c r="AE128" t="s">
        <v>43</v>
      </c>
    </row>
    <row r="129" spans="18:32" x14ac:dyDescent="0.2">
      <c r="R129" s="17"/>
      <c r="S129" s="17" t="s">
        <v>459</v>
      </c>
      <c r="AC129" s="5" t="s">
        <v>328</v>
      </c>
      <c r="AD129" s="87">
        <v>12</v>
      </c>
      <c r="AE129" t="s">
        <v>44</v>
      </c>
    </row>
    <row r="130" spans="18:32" x14ac:dyDescent="0.2">
      <c r="R130" s="17"/>
      <c r="S130" s="17" t="s">
        <v>460</v>
      </c>
      <c r="AC130" s="5" t="s">
        <v>405</v>
      </c>
      <c r="AD130" s="87">
        <v>3</v>
      </c>
      <c r="AE130" t="s">
        <v>45</v>
      </c>
    </row>
    <row r="131" spans="18:32" x14ac:dyDescent="0.2">
      <c r="R131" s="17"/>
      <c r="S131" s="17" t="s">
        <v>461</v>
      </c>
      <c r="AC131" s="5" t="s">
        <v>464</v>
      </c>
      <c r="AD131" s="87">
        <v>0.25</v>
      </c>
      <c r="AE131" t="s">
        <v>450</v>
      </c>
    </row>
    <row r="132" spans="18:32" x14ac:dyDescent="0.2">
      <c r="S132">
        <f>AD134</f>
        <v>554</v>
      </c>
      <c r="AC132" s="5" t="s">
        <v>454</v>
      </c>
      <c r="AD132" s="96">
        <v>0.95</v>
      </c>
    </row>
    <row r="133" spans="18:32" x14ac:dyDescent="0.2">
      <c r="AC133" s="5" t="s">
        <v>452</v>
      </c>
      <c r="AD133" s="87">
        <v>1.96</v>
      </c>
      <c r="AE133" t="s">
        <v>0</v>
      </c>
      <c r="AF133" s="92" t="s">
        <v>269</v>
      </c>
    </row>
    <row r="134" spans="18:32" x14ac:dyDescent="0.2">
      <c r="AC134" s="5" t="s">
        <v>453</v>
      </c>
      <c r="AD134">
        <f>ROUNDUP((AD133*AD130/AD131)^2,0)</f>
        <v>554</v>
      </c>
      <c r="AE134" t="s">
        <v>43</v>
      </c>
      <c r="AF134" s="8" t="s">
        <v>466</v>
      </c>
    </row>
    <row r="136" spans="18:32" x14ac:dyDescent="0.2">
      <c r="R136" s="17" t="s">
        <v>474</v>
      </c>
      <c r="S136" s="17"/>
    </row>
    <row r="137" spans="18:32" x14ac:dyDescent="0.2">
      <c r="R137" s="17"/>
      <c r="S137" s="17" t="s">
        <v>468</v>
      </c>
      <c r="AA137" s="17" t="s">
        <v>407</v>
      </c>
    </row>
    <row r="138" spans="18:32" x14ac:dyDescent="0.2">
      <c r="R138" s="17"/>
      <c r="S138" s="17" t="s">
        <v>469</v>
      </c>
      <c r="AB138" s="5" t="s">
        <v>326</v>
      </c>
      <c r="AC138" s="87">
        <v>40</v>
      </c>
      <c r="AD138" s="45" t="s">
        <v>43</v>
      </c>
    </row>
    <row r="139" spans="18:32" x14ac:dyDescent="0.2">
      <c r="R139" s="17"/>
      <c r="S139" s="17" t="s">
        <v>470</v>
      </c>
      <c r="AB139" s="5" t="s">
        <v>328</v>
      </c>
      <c r="AC139" s="87">
        <v>1147</v>
      </c>
      <c r="AD139" s="45" t="s">
        <v>329</v>
      </c>
    </row>
    <row r="140" spans="18:32" x14ac:dyDescent="0.2">
      <c r="AB140" s="5" t="s">
        <v>405</v>
      </c>
      <c r="AC140" s="87">
        <v>50</v>
      </c>
      <c r="AD140" s="45" t="s">
        <v>45</v>
      </c>
    </row>
    <row r="141" spans="18:32" x14ac:dyDescent="0.2">
      <c r="S141" s="12">
        <f>AC139</f>
        <v>1147</v>
      </c>
      <c r="T141" t="s">
        <v>390</v>
      </c>
      <c r="AB141" s="5" t="s">
        <v>371</v>
      </c>
      <c r="AC141" s="96">
        <v>0.98</v>
      </c>
    </row>
    <row r="142" spans="18:32" x14ac:dyDescent="0.2">
      <c r="S142" s="12">
        <f>AC140</f>
        <v>50</v>
      </c>
      <c r="T142" t="s">
        <v>471</v>
      </c>
      <c r="AB142" s="5" t="s">
        <v>410</v>
      </c>
      <c r="AC142" s="12">
        <f>AC138-1</f>
        <v>39</v>
      </c>
      <c r="AD142" t="s">
        <v>411</v>
      </c>
    </row>
    <row r="143" spans="18:32" x14ac:dyDescent="0.2">
      <c r="T143" t="s">
        <v>472</v>
      </c>
      <c r="AB143" s="5" t="s">
        <v>408</v>
      </c>
      <c r="AC143" s="87">
        <v>2.4260000000000002</v>
      </c>
      <c r="AD143" s="92" t="s">
        <v>409</v>
      </c>
    </row>
    <row r="144" spans="18:32" x14ac:dyDescent="0.2">
      <c r="U144" t="s">
        <v>203</v>
      </c>
      <c r="V144" s="12">
        <f>AC148</f>
        <v>1127.822039757204</v>
      </c>
      <c r="AB144" s="5" t="s">
        <v>374</v>
      </c>
      <c r="AC144" s="99">
        <f>1-AC141</f>
        <v>2.0000000000000018E-2</v>
      </c>
    </row>
    <row r="145" spans="18:31" x14ac:dyDescent="0.2">
      <c r="U145" t="s">
        <v>204</v>
      </c>
      <c r="V145" s="12">
        <f>AC149</f>
        <v>1166.177960242796</v>
      </c>
      <c r="AB145" s="5" t="s">
        <v>413</v>
      </c>
      <c r="AC145" s="12">
        <f>_xlfn.CONFIDENCE.T(AC144,AC140,AC138)</f>
        <v>19.17796024279588</v>
      </c>
      <c r="AD145" s="8" t="s">
        <v>414</v>
      </c>
    </row>
    <row r="146" spans="18:31" x14ac:dyDescent="0.2">
      <c r="T146" t="s">
        <v>473</v>
      </c>
      <c r="AB146" s="5" t="s">
        <v>382</v>
      </c>
      <c r="AC146" s="12">
        <f>AC139</f>
        <v>1147</v>
      </c>
      <c r="AD146" t="s">
        <v>4</v>
      </c>
    </row>
    <row r="147" spans="18:31" x14ac:dyDescent="0.2">
      <c r="U147" t="s">
        <v>475</v>
      </c>
    </row>
    <row r="148" spans="18:31" x14ac:dyDescent="0.2">
      <c r="AB148" s="5" t="s">
        <v>373</v>
      </c>
      <c r="AC148" s="12">
        <f>AC139-_xlfn.CONFIDENCE.T(AC144,AC140,AC138)</f>
        <v>1127.822039757204</v>
      </c>
      <c r="AD148" t="s">
        <v>415</v>
      </c>
    </row>
    <row r="149" spans="18:31" x14ac:dyDescent="0.2">
      <c r="AB149" s="5" t="s">
        <v>372</v>
      </c>
      <c r="AC149" s="12">
        <f>AC139+_xlfn.CONFIDENCE.T(AC144,AC140,AC138)</f>
        <v>1166.177960242796</v>
      </c>
      <c r="AD149" t="s">
        <v>416</v>
      </c>
    </row>
    <row r="151" spans="18:31" x14ac:dyDescent="0.2">
      <c r="R151" s="17" t="s">
        <v>483</v>
      </c>
      <c r="S151" s="17"/>
    </row>
    <row r="152" spans="18:31" x14ac:dyDescent="0.2">
      <c r="R152" s="17"/>
      <c r="S152" s="17" t="s">
        <v>476</v>
      </c>
      <c r="AB152" s="17" t="s">
        <v>407</v>
      </c>
    </row>
    <row r="153" spans="18:31" x14ac:dyDescent="0.2">
      <c r="R153" s="17"/>
      <c r="S153" s="17" t="s">
        <v>477</v>
      </c>
      <c r="AC153" s="5" t="s">
        <v>326</v>
      </c>
      <c r="AD153" s="87">
        <v>50</v>
      </c>
      <c r="AE153" s="45" t="s">
        <v>43</v>
      </c>
    </row>
    <row r="154" spans="18:31" x14ac:dyDescent="0.2">
      <c r="R154" s="17"/>
      <c r="S154" s="17" t="s">
        <v>478</v>
      </c>
      <c r="AC154" s="5" t="s">
        <v>328</v>
      </c>
      <c r="AD154" s="87">
        <v>68.599999999999994</v>
      </c>
      <c r="AE154" s="45" t="s">
        <v>329</v>
      </c>
    </row>
    <row r="155" spans="18:31" x14ac:dyDescent="0.2">
      <c r="AC155" s="5" t="s">
        <v>405</v>
      </c>
      <c r="AD155" s="87">
        <v>8.1999999999999993</v>
      </c>
      <c r="AE155" s="45" t="s">
        <v>45</v>
      </c>
    </row>
    <row r="156" spans="18:31" x14ac:dyDescent="0.2">
      <c r="S156" t="s">
        <v>479</v>
      </c>
      <c r="AC156" s="5" t="s">
        <v>371</v>
      </c>
      <c r="AD156" s="96">
        <v>0.95</v>
      </c>
    </row>
    <row r="157" spans="18:31" x14ac:dyDescent="0.2">
      <c r="T157" s="25" t="s">
        <v>203</v>
      </c>
      <c r="U157" s="31">
        <f>AD163</f>
        <v>66.269585784935003</v>
      </c>
      <c r="AC157" s="5" t="s">
        <v>410</v>
      </c>
      <c r="AD157" s="12">
        <f>AD153-1</f>
        <v>49</v>
      </c>
      <c r="AE157" t="s">
        <v>411</v>
      </c>
    </row>
    <row r="158" spans="18:31" x14ac:dyDescent="0.2">
      <c r="T158" s="25" t="s">
        <v>204</v>
      </c>
      <c r="U158" s="31">
        <f>AD164</f>
        <v>70.930414215064985</v>
      </c>
      <c r="AC158" s="5" t="s">
        <v>408</v>
      </c>
      <c r="AD158" s="87">
        <v>2.68</v>
      </c>
      <c r="AE158" s="92" t="s">
        <v>409</v>
      </c>
    </row>
    <row r="159" spans="18:31" x14ac:dyDescent="0.2">
      <c r="S159" t="s">
        <v>480</v>
      </c>
      <c r="AC159" s="5" t="s">
        <v>374</v>
      </c>
      <c r="AD159" s="99">
        <f>1-AD156</f>
        <v>5.0000000000000044E-2</v>
      </c>
    </row>
    <row r="160" spans="18:31" x14ac:dyDescent="0.2">
      <c r="T160" s="25" t="s">
        <v>484</v>
      </c>
      <c r="AC160" s="5" t="s">
        <v>413</v>
      </c>
      <c r="AD160" s="12">
        <f>_xlfn.CONFIDENCE.T(AD159,AD155,AD153)</f>
        <v>2.3304142150649843</v>
      </c>
      <c r="AE160" s="8" t="s">
        <v>414</v>
      </c>
    </row>
    <row r="161" spans="18:31" x14ac:dyDescent="0.2">
      <c r="S161" t="s">
        <v>481</v>
      </c>
      <c r="AC161" s="5" t="s">
        <v>382</v>
      </c>
      <c r="AD161" s="12">
        <f>AD154</f>
        <v>68.599999999999994</v>
      </c>
      <c r="AE161" t="s">
        <v>4</v>
      </c>
    </row>
    <row r="162" spans="18:31" x14ac:dyDescent="0.2">
      <c r="S162" t="s">
        <v>482</v>
      </c>
    </row>
    <row r="163" spans="18:31" x14ac:dyDescent="0.2">
      <c r="T163" s="20" t="s">
        <v>485</v>
      </c>
      <c r="AC163" s="5" t="s">
        <v>373</v>
      </c>
      <c r="AD163" s="12">
        <f>AD154-_xlfn.CONFIDENCE.T(AD159,AD155,AD153)</f>
        <v>66.269585784935003</v>
      </c>
      <c r="AE163" t="s">
        <v>415</v>
      </c>
    </row>
    <row r="164" spans="18:31" x14ac:dyDescent="0.2">
      <c r="T164" s="20" t="s">
        <v>486</v>
      </c>
      <c r="AC164" s="5" t="s">
        <v>372</v>
      </c>
      <c r="AD164" s="12">
        <f>AD154+_xlfn.CONFIDENCE.T(AD159,AD155,AD153)</f>
        <v>70.930414215064985</v>
      </c>
      <c r="AE164" t="s">
        <v>416</v>
      </c>
    </row>
    <row r="165" spans="18:31" x14ac:dyDescent="0.2">
      <c r="T165" s="20" t="s">
        <v>487</v>
      </c>
    </row>
    <row r="167" spans="18:31" x14ac:dyDescent="0.2">
      <c r="R167" s="17" t="s">
        <v>492</v>
      </c>
      <c r="S167" s="17"/>
    </row>
    <row r="168" spans="18:31" x14ac:dyDescent="0.2">
      <c r="R168" s="17"/>
      <c r="S168" s="17" t="s">
        <v>488</v>
      </c>
    </row>
    <row r="169" spans="18:31" x14ac:dyDescent="0.2">
      <c r="R169" s="17"/>
      <c r="S169" s="17" t="s">
        <v>489</v>
      </c>
    </row>
    <row r="170" spans="18:31" x14ac:dyDescent="0.2">
      <c r="R170" s="17"/>
      <c r="S170" s="17" t="s">
        <v>490</v>
      </c>
    </row>
    <row r="171" spans="18:31" x14ac:dyDescent="0.2">
      <c r="R171" s="17"/>
      <c r="S171" s="17" t="s">
        <v>491</v>
      </c>
    </row>
    <row r="173" spans="18:31" x14ac:dyDescent="0.2">
      <c r="S173" s="17" t="s">
        <v>467</v>
      </c>
    </row>
    <row r="174" spans="18:31" x14ac:dyDescent="0.2">
      <c r="U174" s="5" t="s">
        <v>326</v>
      </c>
      <c r="V174" s="87">
        <v>30</v>
      </c>
      <c r="W174" t="s">
        <v>43</v>
      </c>
    </row>
    <row r="175" spans="18:31" x14ac:dyDescent="0.2">
      <c r="U175" s="5" t="s">
        <v>328</v>
      </c>
      <c r="V175" s="87">
        <v>50</v>
      </c>
      <c r="W175" t="s">
        <v>44</v>
      </c>
    </row>
    <row r="176" spans="18:31" x14ac:dyDescent="0.2">
      <c r="U176" s="5" t="s">
        <v>405</v>
      </c>
      <c r="V176" s="87">
        <v>16</v>
      </c>
      <c r="W176" t="s">
        <v>45</v>
      </c>
    </row>
    <row r="177" spans="18:25" x14ac:dyDescent="0.2">
      <c r="U177" s="5" t="s">
        <v>464</v>
      </c>
      <c r="V177" s="87">
        <f>50-46</f>
        <v>4</v>
      </c>
      <c r="W177" t="s">
        <v>450</v>
      </c>
    </row>
    <row r="178" spans="18:25" x14ac:dyDescent="0.2">
      <c r="U178" s="5" t="s">
        <v>454</v>
      </c>
      <c r="V178" s="96">
        <v>0.95</v>
      </c>
    </row>
    <row r="179" spans="18:25" x14ac:dyDescent="0.2">
      <c r="U179" s="5" t="s">
        <v>452</v>
      </c>
      <c r="V179" s="87">
        <v>1.96</v>
      </c>
      <c r="W179" t="s">
        <v>0</v>
      </c>
      <c r="X179" s="92" t="s">
        <v>269</v>
      </c>
    </row>
    <row r="180" spans="18:25" x14ac:dyDescent="0.2">
      <c r="U180" s="5" t="s">
        <v>453</v>
      </c>
      <c r="V180">
        <f>ROUNDUP((V179*V176/V177)^2,0)</f>
        <v>62</v>
      </c>
      <c r="W180" t="s">
        <v>43</v>
      </c>
      <c r="X180" s="8" t="s">
        <v>466</v>
      </c>
    </row>
    <row r="182" spans="18:25" x14ac:dyDescent="0.2">
      <c r="R182" s="17" t="s">
        <v>500</v>
      </c>
      <c r="S182" s="17"/>
    </row>
    <row r="183" spans="18:25" x14ac:dyDescent="0.2">
      <c r="R183" s="17"/>
      <c r="S183" s="17" t="s">
        <v>493</v>
      </c>
    </row>
    <row r="184" spans="18:25" x14ac:dyDescent="0.2">
      <c r="R184" s="17"/>
      <c r="S184" s="17" t="s">
        <v>494</v>
      </c>
      <c r="U184" s="5"/>
      <c r="V184" s="12"/>
    </row>
    <row r="185" spans="18:25" x14ac:dyDescent="0.2">
      <c r="R185" s="17"/>
      <c r="S185" s="17" t="s">
        <v>495</v>
      </c>
      <c r="U185" s="5"/>
      <c r="V185" s="12"/>
    </row>
    <row r="187" spans="18:25" x14ac:dyDescent="0.2">
      <c r="S187">
        <v>84</v>
      </c>
      <c r="T187">
        <v>87</v>
      </c>
      <c r="V187" s="12">
        <f>U197</f>
        <v>82.583333333333329</v>
      </c>
      <c r="W187" t="s">
        <v>496</v>
      </c>
    </row>
    <row r="188" spans="18:25" x14ac:dyDescent="0.2">
      <c r="S188">
        <v>86</v>
      </c>
      <c r="T188">
        <v>81</v>
      </c>
      <c r="V188" s="12">
        <f>U198</f>
        <v>3.941811612428832</v>
      </c>
      <c r="W188" t="s">
        <v>471</v>
      </c>
    </row>
    <row r="189" spans="18:25" x14ac:dyDescent="0.2">
      <c r="S189">
        <v>84</v>
      </c>
      <c r="T189">
        <v>84</v>
      </c>
      <c r="V189" s="12">
        <f>U203</f>
        <v>2.0435427188445048</v>
      </c>
      <c r="W189" t="s">
        <v>497</v>
      </c>
    </row>
    <row r="190" spans="18:25" x14ac:dyDescent="0.2">
      <c r="S190">
        <v>86</v>
      </c>
      <c r="T190">
        <v>78</v>
      </c>
      <c r="W190" t="s">
        <v>498</v>
      </c>
    </row>
    <row r="191" spans="18:25" x14ac:dyDescent="0.2">
      <c r="S191">
        <v>79</v>
      </c>
      <c r="T191">
        <v>74</v>
      </c>
      <c r="X191" s="5" t="s">
        <v>203</v>
      </c>
      <c r="Y191" s="12">
        <f>U206</f>
        <v>80.539790614488822</v>
      </c>
    </row>
    <row r="192" spans="18:25" x14ac:dyDescent="0.2">
      <c r="S192">
        <v>82</v>
      </c>
      <c r="T192">
        <v>86</v>
      </c>
      <c r="X192" s="5" t="s">
        <v>204</v>
      </c>
      <c r="Y192" s="12">
        <f>U207</f>
        <v>84.626876052177835</v>
      </c>
    </row>
    <row r="193" spans="19:24" x14ac:dyDescent="0.2">
      <c r="W193" t="s">
        <v>499</v>
      </c>
    </row>
    <row r="194" spans="19:24" x14ac:dyDescent="0.2">
      <c r="X194" t="s">
        <v>501</v>
      </c>
    </row>
    <row r="195" spans="19:24" x14ac:dyDescent="0.2">
      <c r="S195" s="17" t="s">
        <v>407</v>
      </c>
    </row>
    <row r="196" spans="19:24" x14ac:dyDescent="0.2">
      <c r="T196" s="5" t="s">
        <v>326</v>
      </c>
      <c r="U196" s="87">
        <f>COUNT(S187:T192)</f>
        <v>12</v>
      </c>
      <c r="V196" s="45" t="s">
        <v>43</v>
      </c>
    </row>
    <row r="197" spans="19:24" x14ac:dyDescent="0.2">
      <c r="T197" s="5" t="s">
        <v>328</v>
      </c>
      <c r="U197" s="87">
        <f>AVERAGE(S187:T192)</f>
        <v>82.583333333333329</v>
      </c>
      <c r="V197" s="45" t="s">
        <v>329</v>
      </c>
    </row>
    <row r="198" spans="19:24" x14ac:dyDescent="0.2">
      <c r="T198" s="5" t="s">
        <v>405</v>
      </c>
      <c r="U198" s="87">
        <f>_xlfn.STDEV.S(S187:T192)</f>
        <v>3.941811612428832</v>
      </c>
      <c r="V198" s="45" t="s">
        <v>45</v>
      </c>
    </row>
    <row r="199" spans="19:24" x14ac:dyDescent="0.2">
      <c r="T199" s="5" t="s">
        <v>371</v>
      </c>
      <c r="U199" s="96">
        <v>0.9</v>
      </c>
    </row>
    <row r="200" spans="19:24" x14ac:dyDescent="0.2">
      <c r="T200" s="5" t="s">
        <v>410</v>
      </c>
      <c r="U200" s="12">
        <f>U196-1</f>
        <v>11</v>
      </c>
      <c r="V200" t="s">
        <v>411</v>
      </c>
    </row>
    <row r="201" spans="19:24" x14ac:dyDescent="0.2">
      <c r="T201" s="5" t="s">
        <v>408</v>
      </c>
      <c r="U201" s="87">
        <v>1.796</v>
      </c>
      <c r="V201" s="92" t="s">
        <v>409</v>
      </c>
    </row>
    <row r="202" spans="19:24" x14ac:dyDescent="0.2">
      <c r="T202" s="5" t="s">
        <v>374</v>
      </c>
      <c r="U202" s="99">
        <f>1-U199</f>
        <v>9.9999999999999978E-2</v>
      </c>
    </row>
    <row r="203" spans="19:24" x14ac:dyDescent="0.2">
      <c r="T203" s="5" t="s">
        <v>413</v>
      </c>
      <c r="U203" s="12">
        <f>_xlfn.CONFIDENCE.T(U202,U198,U196)</f>
        <v>2.0435427188445048</v>
      </c>
      <c r="V203" s="8" t="s">
        <v>414</v>
      </c>
    </row>
    <row r="204" spans="19:24" x14ac:dyDescent="0.2">
      <c r="T204" s="5" t="s">
        <v>382</v>
      </c>
      <c r="U204" s="12">
        <f>U197</f>
        <v>82.583333333333329</v>
      </c>
      <c r="V204" t="s">
        <v>4</v>
      </c>
    </row>
    <row r="206" spans="19:24" x14ac:dyDescent="0.2">
      <c r="T206" s="5" t="s">
        <v>373</v>
      </c>
      <c r="U206" s="12">
        <f>U197-_xlfn.CONFIDENCE.T(U202,U198,U196)</f>
        <v>80.539790614488822</v>
      </c>
      <c r="V206" t="s">
        <v>415</v>
      </c>
    </row>
    <row r="207" spans="19:24" x14ac:dyDescent="0.2">
      <c r="T207" s="5" t="s">
        <v>372</v>
      </c>
      <c r="U207" s="12">
        <f>U197+_xlfn.CONFIDENCE.T(U202,U198,U196)</f>
        <v>84.626876052177835</v>
      </c>
      <c r="V207" t="s">
        <v>416</v>
      </c>
    </row>
    <row r="209" spans="18:22" x14ac:dyDescent="0.2">
      <c r="R209" s="17" t="s">
        <v>507</v>
      </c>
      <c r="S209" s="17"/>
    </row>
    <row r="210" spans="18:22" x14ac:dyDescent="0.2">
      <c r="R210" s="17"/>
      <c r="S210" s="17" t="s">
        <v>502</v>
      </c>
    </row>
    <row r="212" spans="18:22" x14ac:dyDescent="0.2">
      <c r="S212" s="12">
        <f>U223</f>
        <v>3.5000000000000003E-2</v>
      </c>
      <c r="T212" t="s">
        <v>503</v>
      </c>
    </row>
    <row r="213" spans="18:22" x14ac:dyDescent="0.2">
      <c r="S213" s="12">
        <f>U228</f>
        <v>2.5232960978648543E-2</v>
      </c>
      <c r="T213" t="s">
        <v>504</v>
      </c>
    </row>
    <row r="214" spans="18:22" x14ac:dyDescent="0.2">
      <c r="T214" t="s">
        <v>505</v>
      </c>
    </row>
    <row r="215" spans="18:22" x14ac:dyDescent="0.2">
      <c r="U215" s="25" t="s">
        <v>203</v>
      </c>
      <c r="V215" s="1">
        <f>U230</f>
        <v>9.7670390213514605E-3</v>
      </c>
    </row>
    <row r="216" spans="18:22" x14ac:dyDescent="0.2">
      <c r="U216" s="25" t="s">
        <v>204</v>
      </c>
      <c r="V216" s="1">
        <f>U231</f>
        <v>6.0232960978648546E-2</v>
      </c>
    </row>
    <row r="217" spans="18:22" x14ac:dyDescent="0.2">
      <c r="T217" t="s">
        <v>506</v>
      </c>
    </row>
    <row r="218" spans="18:22" x14ac:dyDescent="0.2">
      <c r="U218" t="s">
        <v>508</v>
      </c>
    </row>
    <row r="220" spans="18:22" x14ac:dyDescent="0.2">
      <c r="S220" s="17" t="s">
        <v>431</v>
      </c>
    </row>
    <row r="221" spans="18:22" x14ac:dyDescent="0.2">
      <c r="T221" s="5" t="s">
        <v>326</v>
      </c>
      <c r="U221" s="87">
        <v>400</v>
      </c>
      <c r="V221" s="45" t="s">
        <v>43</v>
      </c>
    </row>
    <row r="222" spans="18:22" x14ac:dyDescent="0.2">
      <c r="T222" s="5" t="s">
        <v>432</v>
      </c>
      <c r="U222" s="87">
        <v>14</v>
      </c>
      <c r="V222" s="45"/>
    </row>
    <row r="223" spans="18:22" x14ac:dyDescent="0.2">
      <c r="T223" s="5" t="s">
        <v>434</v>
      </c>
      <c r="U223" s="102">
        <f>U222/U221</f>
        <v>3.5000000000000003E-2</v>
      </c>
      <c r="V223" s="45" t="s">
        <v>433</v>
      </c>
    </row>
    <row r="224" spans="18:22" x14ac:dyDescent="0.2">
      <c r="T224" s="5" t="s">
        <v>371</v>
      </c>
      <c r="U224" s="96">
        <v>0.99</v>
      </c>
    </row>
    <row r="225" spans="18:23" x14ac:dyDescent="0.2">
      <c r="T225" s="5" t="s">
        <v>410</v>
      </c>
      <c r="U225" s="12">
        <f>U221-1</f>
        <v>399</v>
      </c>
      <c r="V225" t="s">
        <v>411</v>
      </c>
    </row>
    <row r="226" spans="18:23" x14ac:dyDescent="0.2">
      <c r="T226" s="5" t="s">
        <v>174</v>
      </c>
      <c r="U226" s="87">
        <v>2.746</v>
      </c>
      <c r="V226" s="92" t="s">
        <v>269</v>
      </c>
    </row>
    <row r="227" spans="18:23" x14ac:dyDescent="0.2">
      <c r="T227" s="5" t="s">
        <v>374</v>
      </c>
      <c r="U227" s="99">
        <f>1-U224</f>
        <v>1.0000000000000009E-2</v>
      </c>
    </row>
    <row r="228" spans="18:23" x14ac:dyDescent="0.2">
      <c r="T228" s="5" t="s">
        <v>413</v>
      </c>
      <c r="U228" s="12">
        <f>U226*SQRT((U223*(1-U223)/U221))</f>
        <v>2.5232960978648543E-2</v>
      </c>
      <c r="V228" s="8" t="s">
        <v>435</v>
      </c>
    </row>
    <row r="229" spans="18:23" x14ac:dyDescent="0.2">
      <c r="T229" s="5"/>
      <c r="U229" s="12"/>
    </row>
    <row r="230" spans="18:23" x14ac:dyDescent="0.2">
      <c r="T230" s="5" t="s">
        <v>373</v>
      </c>
      <c r="U230" s="12">
        <f>U223-U228</f>
        <v>9.7670390213514605E-3</v>
      </c>
      <c r="V230" t="s">
        <v>415</v>
      </c>
    </row>
    <row r="231" spans="18:23" x14ac:dyDescent="0.2">
      <c r="T231" s="5" t="s">
        <v>372</v>
      </c>
      <c r="U231" s="12">
        <f>U223+U228</f>
        <v>6.0232960978648546E-2</v>
      </c>
      <c r="V231" t="s">
        <v>416</v>
      </c>
    </row>
    <row r="233" spans="18:23" x14ac:dyDescent="0.2">
      <c r="R233" s="17" t="s">
        <v>511</v>
      </c>
      <c r="S233" s="17"/>
    </row>
    <row r="234" spans="18:23" x14ac:dyDescent="0.2">
      <c r="R234" s="17"/>
      <c r="S234" s="17" t="s">
        <v>509</v>
      </c>
    </row>
    <row r="235" spans="18:23" x14ac:dyDescent="0.2">
      <c r="R235" s="17"/>
      <c r="S235" s="17" t="s">
        <v>510</v>
      </c>
    </row>
    <row r="237" spans="18:23" x14ac:dyDescent="0.2">
      <c r="S237" s="17" t="s">
        <v>463</v>
      </c>
    </row>
    <row r="238" spans="18:23" x14ac:dyDescent="0.2">
      <c r="U238" s="5" t="s">
        <v>451</v>
      </c>
      <c r="V238" s="87">
        <v>0.05</v>
      </c>
      <c r="W238" t="s">
        <v>450</v>
      </c>
    </row>
    <row r="239" spans="18:23" x14ac:dyDescent="0.2">
      <c r="U239" s="5" t="s">
        <v>454</v>
      </c>
      <c r="V239" s="96">
        <v>0.95</v>
      </c>
    </row>
    <row r="240" spans="18:23" x14ac:dyDescent="0.2">
      <c r="U240" s="5" t="s">
        <v>455</v>
      </c>
      <c r="V240" s="87">
        <v>0.6</v>
      </c>
      <c r="W240" t="s">
        <v>76</v>
      </c>
    </row>
    <row r="241" spans="21:24" x14ac:dyDescent="0.2">
      <c r="U241" s="5" t="s">
        <v>452</v>
      </c>
      <c r="V241" s="87">
        <v>1.96</v>
      </c>
      <c r="W241" t="s">
        <v>0</v>
      </c>
      <c r="X241" s="92" t="s">
        <v>269</v>
      </c>
    </row>
    <row r="242" spans="21:24" x14ac:dyDescent="0.2">
      <c r="U242" s="5" t="s">
        <v>453</v>
      </c>
      <c r="V242" s="12">
        <f>ROUNDUP(V240*(1-V240)*(V241 / V238)^2,0)</f>
        <v>369</v>
      </c>
      <c r="W242" t="s">
        <v>43</v>
      </c>
      <c r="X242" s="8" t="s">
        <v>456</v>
      </c>
    </row>
  </sheetData>
  <hyperlinks>
    <hyperlink ref="W18" location="_z_table" display="per z_table" xr:uid="{F3E27FA9-9599-4478-BC80-7E3BE54DB2FE}"/>
    <hyperlink ref="AE33" location="_z_table" display="per z_table" xr:uid="{5CAA1205-630E-48A7-983C-05788A7004D1}"/>
    <hyperlink ref="AC53" location="_z_table" display="per z_table" xr:uid="{B6DD81EB-7485-4A4D-ACC8-598625D90A0A}"/>
    <hyperlink ref="AE65" location="_t_table" display="per t_table" xr:uid="{427D300B-116F-4C82-ABD0-4560C3F1A3BF}"/>
    <hyperlink ref="AD80" location="_t_table" display="per t_table" xr:uid="{365C7BD6-F99E-4A03-AADF-A973622C5047}"/>
    <hyperlink ref="AD97" location="_z_table" display="per z_table" xr:uid="{4C5C3511-9738-474E-9CF7-E91DE5E0DEB8}"/>
    <hyperlink ref="AF111" location="_z_table" display="per z_table" xr:uid="{BD91D408-22E4-4803-A90F-DEC4CBBD08D2}"/>
    <hyperlink ref="AF123" location="_z_table" display="per z_table" xr:uid="{FBFEC626-C099-4AB5-9E69-6337F50C2FAA}"/>
    <hyperlink ref="AF133" location="_z_table" display="per z_table" xr:uid="{780B1D7B-8641-4A0D-8207-0EA4ED355AAE}"/>
    <hyperlink ref="AD143" location="_t_table" display="per t_table" xr:uid="{459920AD-945F-400C-ADA0-2CBC9252CF41}"/>
    <hyperlink ref="AE158" location="_t_table" display="per t_table" xr:uid="{FD2FAD44-1B7C-4F92-9E28-797D1A4FBB61}"/>
    <hyperlink ref="X179" location="_z_table" display="per z_table" xr:uid="{33E4F90E-6B22-49D6-A8B7-DB692F7E11F0}"/>
    <hyperlink ref="V201" location="_t_table" display="per t_table" xr:uid="{4B9B4D60-AB7B-422B-9FB2-FA9EE12CB4C9}"/>
    <hyperlink ref="V226" location="_z_table" display="per z_table" xr:uid="{30472DB8-6BB6-4080-B251-E905F687094F}"/>
    <hyperlink ref="X241" location="_z_table" display="per z_table" xr:uid="{1A572353-6986-496D-9AFF-0070D6D4BBC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FB67-13C1-4D5E-8C76-36DFD9D2A85F}">
  <dimension ref="A1:O42"/>
  <sheetViews>
    <sheetView workbookViewId="0">
      <selection activeCell="O2" sqref="O2"/>
    </sheetView>
  </sheetViews>
  <sheetFormatPr defaultRowHeight="12" x14ac:dyDescent="0.2"/>
  <cols>
    <col min="1" max="1" width="3.42578125" bestFit="1" customWidth="1"/>
    <col min="2" max="11" width="6.42578125" customWidth="1"/>
  </cols>
  <sheetData>
    <row r="1" spans="1:15" x14ac:dyDescent="0.2">
      <c r="A1" s="53" t="s">
        <v>0</v>
      </c>
      <c r="B1" s="54">
        <v>0</v>
      </c>
      <c r="C1" s="44">
        <v>0.01</v>
      </c>
      <c r="D1" s="44">
        <v>0.02</v>
      </c>
      <c r="E1" s="44">
        <v>0.03</v>
      </c>
      <c r="F1" s="44">
        <v>0.04</v>
      </c>
      <c r="G1" s="44">
        <v>0.05</v>
      </c>
      <c r="H1" s="44">
        <v>0.06</v>
      </c>
      <c r="I1" s="44">
        <v>7.0000000000000007E-2</v>
      </c>
      <c r="J1" s="44">
        <v>0.08</v>
      </c>
      <c r="K1" s="44">
        <v>0.09</v>
      </c>
    </row>
    <row r="2" spans="1:15" x14ac:dyDescent="0.2">
      <c r="A2" s="95">
        <v>0</v>
      </c>
      <c r="B2" s="94">
        <v>0</v>
      </c>
      <c r="C2" s="94">
        <v>3.9899999999999996E-3</v>
      </c>
      <c r="D2" s="94">
        <v>7.9799999999999992E-3</v>
      </c>
      <c r="E2" s="94">
        <v>1.197E-2</v>
      </c>
      <c r="F2" s="94">
        <v>1.5949999999999999E-2</v>
      </c>
      <c r="G2" s="94">
        <v>1.9939999999999999E-2</v>
      </c>
      <c r="H2" s="94">
        <v>2.392E-2</v>
      </c>
      <c r="I2" s="94">
        <v>2.7900000000000001E-2</v>
      </c>
      <c r="J2" s="94">
        <v>3.1879999999999999E-2</v>
      </c>
      <c r="K2" s="94">
        <v>3.5860000000000003E-2</v>
      </c>
      <c r="N2" s="5" t="s">
        <v>174</v>
      </c>
      <c r="O2" s="93">
        <v>0.45454545454545497</v>
      </c>
    </row>
    <row r="3" spans="1:15" x14ac:dyDescent="0.2">
      <c r="A3" s="95">
        <v>0.1</v>
      </c>
      <c r="B3" s="94">
        <v>3.9829999999999997E-2</v>
      </c>
      <c r="C3" s="94">
        <v>4.3799999999999999E-2</v>
      </c>
      <c r="D3" s="94">
        <v>4.7759999999999997E-2</v>
      </c>
      <c r="E3" s="94">
        <v>5.1720000000000002E-2</v>
      </c>
      <c r="F3" s="94">
        <v>5.5669999999999997E-2</v>
      </c>
      <c r="G3" s="94">
        <v>5.9619999999999999E-2</v>
      </c>
      <c r="H3" s="94">
        <v>6.3560000000000005E-2</v>
      </c>
      <c r="I3" s="94">
        <v>6.7489999999999994E-2</v>
      </c>
      <c r="J3" s="94">
        <v>7.1419999999999997E-2</v>
      </c>
      <c r="K3" s="94">
        <v>7.535E-2</v>
      </c>
      <c r="N3" s="5" t="s">
        <v>172</v>
      </c>
      <c r="O3" s="7">
        <f>_xlfn.FLOOR.MATH(O2*10)/10</f>
        <v>0.4</v>
      </c>
    </row>
    <row r="4" spans="1:15" x14ac:dyDescent="0.2">
      <c r="A4" s="95">
        <v>0.2</v>
      </c>
      <c r="B4" s="94">
        <v>7.9259999999999997E-2</v>
      </c>
      <c r="C4" s="94">
        <v>8.3169999999999994E-2</v>
      </c>
      <c r="D4" s="94">
        <v>8.7059999999999998E-2</v>
      </c>
      <c r="E4" s="94">
        <v>9.0950000000000003E-2</v>
      </c>
      <c r="F4" s="94">
        <v>9.4829999999999998E-2</v>
      </c>
      <c r="G4" s="94">
        <v>9.8710000000000006E-2</v>
      </c>
      <c r="H4" s="94">
        <v>0.10256999999999999</v>
      </c>
      <c r="I4" s="94">
        <v>0.10642</v>
      </c>
      <c r="J4" s="94">
        <v>0.11026</v>
      </c>
      <c r="K4" s="94">
        <v>0.11409</v>
      </c>
      <c r="N4" s="5" t="s">
        <v>173</v>
      </c>
      <c r="O4" s="7">
        <f>O2-O3</f>
        <v>5.4545454545454952E-2</v>
      </c>
    </row>
    <row r="5" spans="1:15" x14ac:dyDescent="0.2">
      <c r="A5" s="95">
        <v>0.3</v>
      </c>
      <c r="B5" s="94">
        <v>0.11791</v>
      </c>
      <c r="C5" s="94">
        <v>0.12171999999999999</v>
      </c>
      <c r="D5" s="94">
        <v>0.12551999999999999</v>
      </c>
      <c r="E5" s="94">
        <v>0.1293</v>
      </c>
      <c r="F5" s="94">
        <v>0.13306999999999999</v>
      </c>
      <c r="G5" s="94">
        <v>0.13683000000000001</v>
      </c>
      <c r="H5" s="94">
        <v>0.14058000000000001</v>
      </c>
      <c r="I5" s="94">
        <v>0.14430999999999999</v>
      </c>
      <c r="J5" s="94">
        <v>0.14802999999999999</v>
      </c>
      <c r="K5" s="94">
        <v>0.15173</v>
      </c>
      <c r="N5" s="19" t="s">
        <v>175</v>
      </c>
      <c r="O5" s="97">
        <f>_xlfn.NORM.S.DIST(O2,TRUE)-0.5</f>
        <v>0.17528185813662289</v>
      </c>
    </row>
    <row r="6" spans="1:15" x14ac:dyDescent="0.2">
      <c r="A6" s="95">
        <v>0.4</v>
      </c>
      <c r="B6" s="94">
        <v>0.15542</v>
      </c>
      <c r="C6" s="94">
        <v>0.15909999999999999</v>
      </c>
      <c r="D6" s="94">
        <v>0.16275999999999999</v>
      </c>
      <c r="E6" s="94">
        <v>0.16639999999999999</v>
      </c>
      <c r="F6" s="94">
        <v>0.17002999999999999</v>
      </c>
      <c r="G6" s="94">
        <v>0.17363999999999999</v>
      </c>
      <c r="H6" s="94">
        <v>0.17724000000000001</v>
      </c>
      <c r="I6" s="94">
        <v>0.18082000000000001</v>
      </c>
      <c r="J6" s="94">
        <v>0.18439</v>
      </c>
      <c r="K6" s="94">
        <v>0.18793000000000001</v>
      </c>
    </row>
    <row r="7" spans="1:15" x14ac:dyDescent="0.2">
      <c r="A7" s="95">
        <v>0.5</v>
      </c>
      <c r="B7" s="94">
        <v>0.19145999999999999</v>
      </c>
      <c r="C7" s="94">
        <v>0.19497</v>
      </c>
      <c r="D7" s="94">
        <v>0.19847000000000001</v>
      </c>
      <c r="E7" s="94">
        <v>0.20194000000000001</v>
      </c>
      <c r="F7" s="94">
        <v>0.2054</v>
      </c>
      <c r="G7" s="94">
        <v>0.20884</v>
      </c>
      <c r="H7" s="94">
        <v>0.21226</v>
      </c>
      <c r="I7" s="94">
        <v>0.21565999999999999</v>
      </c>
      <c r="J7" s="94">
        <v>0.21904000000000001</v>
      </c>
      <c r="K7" s="94">
        <v>0.22239999999999999</v>
      </c>
      <c r="N7" s="5" t="s">
        <v>246</v>
      </c>
      <c r="O7" s="91">
        <v>4.0000000000000002E-4</v>
      </c>
    </row>
    <row r="8" spans="1:15" x14ac:dyDescent="0.2">
      <c r="A8" s="95">
        <v>0.6</v>
      </c>
      <c r="B8" s="94">
        <v>0.22575000000000001</v>
      </c>
      <c r="C8" s="94">
        <v>0.22907</v>
      </c>
      <c r="D8" s="94">
        <v>0.23236999999999999</v>
      </c>
      <c r="E8" s="94">
        <v>0.23565</v>
      </c>
      <c r="F8" s="94">
        <v>0.23891000000000001</v>
      </c>
      <c r="G8" s="94">
        <v>0.24215</v>
      </c>
      <c r="H8" s="94">
        <v>0.24537</v>
      </c>
      <c r="I8" s="94">
        <v>0.24857000000000001</v>
      </c>
      <c r="J8" s="94">
        <v>0.25174999999999997</v>
      </c>
      <c r="K8" s="94">
        <v>0.25490000000000002</v>
      </c>
      <c r="N8" s="5" t="s">
        <v>175</v>
      </c>
      <c r="O8" s="12">
        <f>0.5-O7</f>
        <v>0.49959999999999999</v>
      </c>
    </row>
    <row r="9" spans="1:15" x14ac:dyDescent="0.2">
      <c r="A9" s="95">
        <v>0.7</v>
      </c>
      <c r="B9" s="94">
        <v>0.25803999999999999</v>
      </c>
      <c r="C9" s="94">
        <v>0.26114999999999999</v>
      </c>
      <c r="D9" s="94">
        <v>0.26423999999999997</v>
      </c>
      <c r="E9" s="94">
        <v>0.26729999999999998</v>
      </c>
      <c r="F9" s="94">
        <v>0.27034999999999998</v>
      </c>
      <c r="G9" s="94">
        <v>0.27337</v>
      </c>
      <c r="H9" s="94">
        <v>0.27637</v>
      </c>
      <c r="I9" s="94">
        <v>0.27934999999999999</v>
      </c>
      <c r="J9" s="94">
        <v>0.2823</v>
      </c>
      <c r="K9" s="94">
        <v>0.28523999999999999</v>
      </c>
      <c r="N9" s="90"/>
    </row>
    <row r="10" spans="1:15" x14ac:dyDescent="0.2">
      <c r="A10" s="95">
        <v>0.8</v>
      </c>
      <c r="B10" s="94">
        <v>0.28814000000000001</v>
      </c>
      <c r="C10" s="94">
        <v>0.29103000000000001</v>
      </c>
      <c r="D10" s="94">
        <v>0.29388999999999998</v>
      </c>
      <c r="E10" s="94">
        <v>0.29672999999999999</v>
      </c>
      <c r="F10" s="94">
        <v>0.29954999999999998</v>
      </c>
      <c r="G10" s="94">
        <v>0.30234</v>
      </c>
      <c r="H10" s="94">
        <v>0.30510999999999999</v>
      </c>
      <c r="I10" s="94">
        <v>0.30785000000000001</v>
      </c>
      <c r="J10" s="94">
        <v>0.31057000000000001</v>
      </c>
      <c r="K10" s="94">
        <v>0.31326999999999999</v>
      </c>
    </row>
    <row r="11" spans="1:15" x14ac:dyDescent="0.2">
      <c r="A11" s="95">
        <v>0.9</v>
      </c>
      <c r="B11" s="94">
        <v>0.31594</v>
      </c>
      <c r="C11" s="94">
        <v>0.31858999999999998</v>
      </c>
      <c r="D11" s="94">
        <v>0.32121</v>
      </c>
      <c r="E11" s="94">
        <v>0.32380999999999999</v>
      </c>
      <c r="F11" s="94">
        <v>0.32639000000000001</v>
      </c>
      <c r="G11" s="94">
        <v>0.32894000000000001</v>
      </c>
      <c r="H11" s="94">
        <v>0.33146999999999999</v>
      </c>
      <c r="I11" s="94">
        <v>0.33398</v>
      </c>
      <c r="J11" s="94">
        <v>0.33645999999999998</v>
      </c>
      <c r="K11" s="94">
        <v>0.33890999999999999</v>
      </c>
      <c r="O11">
        <v>0.47499999999999998</v>
      </c>
    </row>
    <row r="12" spans="1:15" x14ac:dyDescent="0.2">
      <c r="A12" s="95">
        <v>1</v>
      </c>
      <c r="B12" s="94">
        <v>0.34133999999999998</v>
      </c>
      <c r="C12" s="94">
        <v>0.34375</v>
      </c>
      <c r="D12" s="94">
        <v>0.34614</v>
      </c>
      <c r="E12" s="94">
        <v>0.34849000000000002</v>
      </c>
      <c r="F12" s="94">
        <v>0.35082999999999998</v>
      </c>
      <c r="G12" s="94">
        <v>0.35314000000000001</v>
      </c>
      <c r="H12" s="94">
        <v>0.35543000000000002</v>
      </c>
      <c r="I12" s="94">
        <v>0.35769000000000001</v>
      </c>
      <c r="J12" s="94">
        <v>0.35993000000000003</v>
      </c>
      <c r="K12" s="94">
        <v>0.36214000000000002</v>
      </c>
    </row>
    <row r="13" spans="1:15" x14ac:dyDescent="0.2">
      <c r="A13" s="95">
        <v>1.1000000000000001</v>
      </c>
      <c r="B13" s="94">
        <v>0.36432999999999999</v>
      </c>
      <c r="C13" s="94">
        <v>0.36649999999999999</v>
      </c>
      <c r="D13" s="94">
        <v>0.36864000000000002</v>
      </c>
      <c r="E13" s="94">
        <v>0.37075999999999998</v>
      </c>
      <c r="F13" s="94">
        <v>0.37286000000000002</v>
      </c>
      <c r="G13" s="94">
        <v>0.37492999999999999</v>
      </c>
      <c r="H13" s="94">
        <v>0.37697999999999998</v>
      </c>
      <c r="I13" s="94">
        <v>0.379</v>
      </c>
      <c r="J13" s="94">
        <v>0.38100000000000001</v>
      </c>
      <c r="K13" s="94">
        <v>0.38297999999999999</v>
      </c>
    </row>
    <row r="14" spans="1:15" x14ac:dyDescent="0.2">
      <c r="A14" s="95">
        <v>1.2</v>
      </c>
      <c r="B14" s="94">
        <v>0.38492999999999999</v>
      </c>
      <c r="C14" s="94">
        <v>0.38685999999999998</v>
      </c>
      <c r="D14" s="94">
        <v>0.38877</v>
      </c>
      <c r="E14" s="94">
        <v>0.39065</v>
      </c>
      <c r="F14" s="94">
        <v>0.39251000000000003</v>
      </c>
      <c r="G14" s="94">
        <v>0.39434999999999998</v>
      </c>
      <c r="H14" s="94">
        <v>0.39617000000000002</v>
      </c>
      <c r="I14" s="94">
        <v>0.39795999999999998</v>
      </c>
      <c r="J14" s="94">
        <v>0.39972999999999997</v>
      </c>
      <c r="K14" s="94">
        <v>0.40146999999999999</v>
      </c>
      <c r="O14">
        <f>0.99/2</f>
        <v>0.495</v>
      </c>
    </row>
    <row r="15" spans="1:15" x14ac:dyDescent="0.2">
      <c r="A15" s="95">
        <v>1.3</v>
      </c>
      <c r="B15" s="94">
        <v>0.4032</v>
      </c>
      <c r="C15" s="94">
        <v>0.40489999999999998</v>
      </c>
      <c r="D15" s="94">
        <v>0.40658</v>
      </c>
      <c r="E15" s="94">
        <v>0.40823999999999999</v>
      </c>
      <c r="F15" s="94">
        <v>0.40988000000000002</v>
      </c>
      <c r="G15" s="94">
        <v>0.41149000000000002</v>
      </c>
      <c r="H15" s="94">
        <v>0.41308</v>
      </c>
      <c r="I15" s="94">
        <v>0.41465999999999997</v>
      </c>
      <c r="J15" s="94">
        <v>0.41621000000000002</v>
      </c>
      <c r="K15" s="94">
        <v>0.41774</v>
      </c>
    </row>
    <row r="16" spans="1:15" x14ac:dyDescent="0.2">
      <c r="A16" s="95">
        <v>1.4</v>
      </c>
      <c r="B16" s="94">
        <v>0.41924</v>
      </c>
      <c r="C16" s="94">
        <v>0.42072999999999999</v>
      </c>
      <c r="D16" s="94">
        <v>0.42220000000000002</v>
      </c>
      <c r="E16" s="94">
        <v>0.42364000000000002</v>
      </c>
      <c r="F16" s="94">
        <v>0.42507</v>
      </c>
      <c r="G16" s="94">
        <v>0.42647000000000002</v>
      </c>
      <c r="H16" s="94">
        <v>0.42785000000000001</v>
      </c>
      <c r="I16" s="94">
        <v>0.42921999999999999</v>
      </c>
      <c r="J16" s="94">
        <v>0.43056</v>
      </c>
      <c r="K16" s="94">
        <v>0.43189</v>
      </c>
    </row>
    <row r="17" spans="1:13" x14ac:dyDescent="0.2">
      <c r="A17" s="95">
        <v>1.5</v>
      </c>
      <c r="B17" s="94">
        <v>0.43319000000000002</v>
      </c>
      <c r="C17" s="94">
        <v>0.43447999999999998</v>
      </c>
      <c r="D17" s="94">
        <v>0.43574000000000002</v>
      </c>
      <c r="E17" s="94">
        <v>0.43698999999999999</v>
      </c>
      <c r="F17" s="94">
        <v>0.43822</v>
      </c>
      <c r="G17" s="94">
        <v>0.43942999999999999</v>
      </c>
      <c r="H17" s="94">
        <v>0.44062000000000001</v>
      </c>
      <c r="I17" s="94">
        <v>0.44179000000000002</v>
      </c>
      <c r="J17" s="94">
        <v>0.44295000000000001</v>
      </c>
      <c r="K17" s="94">
        <v>0.44407999999999997</v>
      </c>
    </row>
    <row r="18" spans="1:13" x14ac:dyDescent="0.2">
      <c r="A18" s="95">
        <v>1.6</v>
      </c>
      <c r="B18" s="94">
        <v>0.44519999999999998</v>
      </c>
      <c r="C18" s="94">
        <v>0.44629999999999997</v>
      </c>
      <c r="D18" s="94">
        <v>0.44738</v>
      </c>
      <c r="E18" s="94">
        <v>0.44845000000000002</v>
      </c>
      <c r="F18" s="94">
        <v>0.44950000000000001</v>
      </c>
      <c r="G18" s="94">
        <v>0.45052999999999999</v>
      </c>
      <c r="H18" s="94">
        <v>0.45154</v>
      </c>
      <c r="I18" s="94">
        <v>0.45254</v>
      </c>
      <c r="J18" s="94">
        <v>0.45351999999999998</v>
      </c>
      <c r="K18" s="94">
        <v>0.45449000000000001</v>
      </c>
      <c r="M18" s="12"/>
    </row>
    <row r="19" spans="1:13" x14ac:dyDescent="0.2">
      <c r="A19" s="95">
        <v>1.7</v>
      </c>
      <c r="B19" s="94">
        <v>0.45543</v>
      </c>
      <c r="C19" s="94">
        <v>0.45637</v>
      </c>
      <c r="D19" s="94">
        <v>0.45728000000000002</v>
      </c>
      <c r="E19" s="94">
        <v>0.45817999999999998</v>
      </c>
      <c r="F19" s="94">
        <v>0.45906999999999998</v>
      </c>
      <c r="G19" s="94">
        <v>0.45994000000000002</v>
      </c>
      <c r="H19" s="94">
        <v>0.46079999999999999</v>
      </c>
      <c r="I19" s="94">
        <v>0.46163999999999999</v>
      </c>
      <c r="J19" s="94">
        <v>0.46245999999999998</v>
      </c>
      <c r="K19" s="94">
        <v>0.46327000000000002</v>
      </c>
    </row>
    <row r="20" spans="1:13" x14ac:dyDescent="0.2">
      <c r="A20" s="95">
        <v>1.8</v>
      </c>
      <c r="B20" s="94">
        <v>0.46406999999999998</v>
      </c>
      <c r="C20" s="94">
        <v>0.46484999999999999</v>
      </c>
      <c r="D20" s="94">
        <v>0.46561999999999998</v>
      </c>
      <c r="E20" s="94">
        <v>0.46638000000000002</v>
      </c>
      <c r="F20" s="94">
        <v>0.46711999999999998</v>
      </c>
      <c r="G20" s="94">
        <v>0.46783999999999998</v>
      </c>
      <c r="H20" s="94">
        <v>0.46855999999999998</v>
      </c>
      <c r="I20" s="94">
        <v>0.46926000000000001</v>
      </c>
      <c r="J20" s="94">
        <v>0.46994999999999998</v>
      </c>
      <c r="K20" s="94">
        <v>0.47061999999999998</v>
      </c>
    </row>
    <row r="21" spans="1:13" x14ac:dyDescent="0.2">
      <c r="A21" s="95">
        <v>1.9</v>
      </c>
      <c r="B21" s="94">
        <v>0.47127999999999998</v>
      </c>
      <c r="C21" s="94">
        <v>0.47193000000000002</v>
      </c>
      <c r="D21" s="94">
        <v>0.47256999999999999</v>
      </c>
      <c r="E21" s="94">
        <v>0.47320000000000001</v>
      </c>
      <c r="F21" s="94">
        <v>0.47381000000000001</v>
      </c>
      <c r="G21" s="94">
        <v>0.47441</v>
      </c>
      <c r="H21" s="94">
        <v>0.47499999999999998</v>
      </c>
      <c r="I21" s="94">
        <v>0.47558</v>
      </c>
      <c r="J21" s="94">
        <v>0.47615000000000002</v>
      </c>
      <c r="K21" s="94">
        <v>0.47670000000000001</v>
      </c>
    </row>
    <row r="22" spans="1:13" x14ac:dyDescent="0.2">
      <c r="A22" s="95">
        <v>2</v>
      </c>
      <c r="B22" s="94">
        <v>0.47725000000000001</v>
      </c>
      <c r="C22" s="94">
        <v>0.47777999999999998</v>
      </c>
      <c r="D22" s="94">
        <v>0.47831000000000001</v>
      </c>
      <c r="E22" s="94">
        <v>0.47882000000000002</v>
      </c>
      <c r="F22" s="94">
        <v>0.47932000000000002</v>
      </c>
      <c r="G22" s="94">
        <v>0.47982000000000002</v>
      </c>
      <c r="H22" s="94">
        <v>0.4803</v>
      </c>
      <c r="I22" s="94">
        <v>0.48076999999999998</v>
      </c>
      <c r="J22" s="94">
        <v>0.48124</v>
      </c>
      <c r="K22" s="94">
        <v>0.48169000000000001</v>
      </c>
    </row>
    <row r="23" spans="1:13" x14ac:dyDescent="0.2">
      <c r="A23" s="95">
        <v>2.1</v>
      </c>
      <c r="B23" s="94">
        <v>0.48214000000000001</v>
      </c>
      <c r="C23" s="94">
        <v>0.48257</v>
      </c>
      <c r="D23" s="94">
        <v>0.48299999999999998</v>
      </c>
      <c r="E23" s="94">
        <v>0.48341000000000001</v>
      </c>
      <c r="F23" s="94">
        <v>0.48381999999999997</v>
      </c>
      <c r="G23" s="94">
        <v>0.48421999999999998</v>
      </c>
      <c r="H23" s="94">
        <v>0.48460999999999999</v>
      </c>
      <c r="I23" s="94">
        <v>0.48499999999999999</v>
      </c>
      <c r="J23" s="94">
        <v>0.48537000000000002</v>
      </c>
      <c r="K23" s="94">
        <v>0.48574000000000001</v>
      </c>
    </row>
    <row r="24" spans="1:13" x14ac:dyDescent="0.2">
      <c r="A24" s="95">
        <v>2.2000000000000002</v>
      </c>
      <c r="B24" s="94">
        <v>0.48609999999999998</v>
      </c>
      <c r="C24" s="94">
        <v>0.48644999999999999</v>
      </c>
      <c r="D24" s="94">
        <v>0.48679</v>
      </c>
      <c r="E24" s="94">
        <v>0.48713000000000001</v>
      </c>
      <c r="F24" s="94">
        <v>0.48744999999999999</v>
      </c>
      <c r="G24" s="94">
        <v>0.48777999999999999</v>
      </c>
      <c r="H24" s="94">
        <v>0.48809000000000002</v>
      </c>
      <c r="I24" s="94">
        <v>0.4884</v>
      </c>
      <c r="J24" s="94">
        <v>0.48870000000000002</v>
      </c>
      <c r="K24" s="94">
        <v>0.48898999999999998</v>
      </c>
    </row>
    <row r="25" spans="1:13" x14ac:dyDescent="0.2">
      <c r="A25" s="95">
        <v>2.2999999999999998</v>
      </c>
      <c r="B25" s="94">
        <v>0.48927999999999999</v>
      </c>
      <c r="C25" s="94">
        <v>0.48956</v>
      </c>
      <c r="D25" s="94">
        <v>0.48982999999999999</v>
      </c>
      <c r="E25" s="94">
        <v>0.49009999999999998</v>
      </c>
      <c r="F25" s="94">
        <v>0.49036000000000002</v>
      </c>
      <c r="G25" s="94">
        <v>0.49060999999999999</v>
      </c>
      <c r="H25" s="94">
        <v>0.49086000000000002</v>
      </c>
      <c r="I25" s="94">
        <v>0.49110999999999999</v>
      </c>
      <c r="J25" s="94">
        <v>0.49134</v>
      </c>
      <c r="K25" s="94">
        <v>0.49158000000000002</v>
      </c>
    </row>
    <row r="26" spans="1:13" x14ac:dyDescent="0.2">
      <c r="A26" s="95">
        <v>2.4</v>
      </c>
      <c r="B26" s="94">
        <v>0.49180000000000001</v>
      </c>
      <c r="C26" s="94">
        <v>0.49202000000000001</v>
      </c>
      <c r="D26" s="94">
        <v>0.49224000000000001</v>
      </c>
      <c r="E26" s="94">
        <v>0.49245</v>
      </c>
      <c r="F26" s="94">
        <v>0.49265999999999999</v>
      </c>
      <c r="G26" s="94">
        <v>0.49286000000000002</v>
      </c>
      <c r="H26" s="94">
        <v>0.49304999999999999</v>
      </c>
      <c r="I26" s="94">
        <v>0.49324000000000001</v>
      </c>
      <c r="J26" s="94">
        <v>0.49342999999999998</v>
      </c>
      <c r="K26" s="94">
        <v>0.49360999999999999</v>
      </c>
    </row>
    <row r="27" spans="1:13" x14ac:dyDescent="0.2">
      <c r="A27" s="95">
        <v>2.5</v>
      </c>
      <c r="B27" s="94">
        <v>0.49379000000000001</v>
      </c>
      <c r="C27" s="94">
        <v>0.49396000000000001</v>
      </c>
      <c r="D27" s="94">
        <v>0.49413000000000001</v>
      </c>
      <c r="E27" s="94">
        <v>0.49430000000000002</v>
      </c>
      <c r="F27" s="94">
        <v>0.49446000000000001</v>
      </c>
      <c r="G27" s="94">
        <v>0.49460999999999999</v>
      </c>
      <c r="H27" s="94">
        <v>0.49476999999999999</v>
      </c>
      <c r="I27" s="94">
        <v>0.49492000000000003</v>
      </c>
      <c r="J27" s="94">
        <v>0.49506</v>
      </c>
      <c r="K27" s="94">
        <v>0.49519999999999997</v>
      </c>
    </row>
    <row r="28" spans="1:13" x14ac:dyDescent="0.2">
      <c r="A28" s="95">
        <v>2.6</v>
      </c>
      <c r="B28" s="94">
        <v>0.49534</v>
      </c>
      <c r="C28" s="94">
        <v>0.49547000000000002</v>
      </c>
      <c r="D28" s="94">
        <v>0.49559999999999998</v>
      </c>
      <c r="E28" s="94">
        <v>0.49573</v>
      </c>
      <c r="F28" s="94">
        <v>0.49585000000000001</v>
      </c>
      <c r="G28" s="94">
        <v>0.49597999999999998</v>
      </c>
      <c r="H28" s="94">
        <v>0.49608999999999998</v>
      </c>
      <c r="I28" s="94">
        <v>0.49620999999999998</v>
      </c>
      <c r="J28" s="94">
        <v>0.49631999999999998</v>
      </c>
      <c r="K28" s="94">
        <v>0.49642999999999998</v>
      </c>
    </row>
    <row r="29" spans="1:13" x14ac:dyDescent="0.2">
      <c r="A29" s="95">
        <v>2.7</v>
      </c>
      <c r="B29" s="94">
        <v>0.49653000000000003</v>
      </c>
      <c r="C29" s="94">
        <v>0.49664000000000003</v>
      </c>
      <c r="D29" s="94">
        <v>0.49674000000000001</v>
      </c>
      <c r="E29" s="94">
        <v>0.49682999999999999</v>
      </c>
      <c r="F29" s="94">
        <v>0.49692999999999998</v>
      </c>
      <c r="G29" s="94">
        <v>0.49702000000000002</v>
      </c>
      <c r="H29" s="94">
        <v>0.49711</v>
      </c>
      <c r="I29" s="94">
        <v>0.49719999999999998</v>
      </c>
      <c r="J29" s="94">
        <v>0.49728</v>
      </c>
      <c r="K29" s="94">
        <v>0.49736000000000002</v>
      </c>
    </row>
    <row r="30" spans="1:13" x14ac:dyDescent="0.2">
      <c r="A30" s="95">
        <v>2.8</v>
      </c>
      <c r="B30" s="94">
        <v>0.49743999999999999</v>
      </c>
      <c r="C30" s="94">
        <v>0.49752000000000002</v>
      </c>
      <c r="D30" s="94">
        <v>0.49759999999999999</v>
      </c>
      <c r="E30" s="94">
        <v>0.49767</v>
      </c>
      <c r="F30" s="94">
        <v>0.49774000000000002</v>
      </c>
      <c r="G30" s="94">
        <v>0.49780999999999997</v>
      </c>
      <c r="H30" s="94">
        <v>0.49787999999999999</v>
      </c>
      <c r="I30" s="94">
        <v>0.49795</v>
      </c>
      <c r="J30" s="94">
        <v>0.49801000000000001</v>
      </c>
      <c r="K30" s="94">
        <v>0.49807000000000001</v>
      </c>
    </row>
    <row r="31" spans="1:13" x14ac:dyDescent="0.2">
      <c r="A31" s="95">
        <v>2.9</v>
      </c>
      <c r="B31" s="94">
        <v>0.49813000000000002</v>
      </c>
      <c r="C31" s="94">
        <v>0.49819000000000002</v>
      </c>
      <c r="D31" s="94">
        <v>0.49825000000000003</v>
      </c>
      <c r="E31" s="94">
        <v>0.49830999999999998</v>
      </c>
      <c r="F31" s="94">
        <v>0.49836000000000003</v>
      </c>
      <c r="G31" s="94">
        <v>0.49841000000000002</v>
      </c>
      <c r="H31" s="94">
        <v>0.49846000000000001</v>
      </c>
      <c r="I31" s="94">
        <v>0.49851000000000001</v>
      </c>
      <c r="J31" s="94">
        <v>0.49856</v>
      </c>
      <c r="K31" s="94">
        <v>0.49861</v>
      </c>
    </row>
    <row r="32" spans="1:13" x14ac:dyDescent="0.2">
      <c r="A32" s="95">
        <v>3</v>
      </c>
      <c r="B32" s="94">
        <v>0.49864999999999998</v>
      </c>
      <c r="C32" s="94">
        <v>0.49869000000000002</v>
      </c>
      <c r="D32" s="94">
        <v>0.49874000000000002</v>
      </c>
      <c r="E32" s="94">
        <v>0.49878</v>
      </c>
      <c r="F32" s="94">
        <v>0.49881999999999999</v>
      </c>
      <c r="G32" s="94">
        <v>0.49886000000000003</v>
      </c>
      <c r="H32" s="94">
        <v>0.49889</v>
      </c>
      <c r="I32" s="94">
        <v>0.49892999999999998</v>
      </c>
      <c r="J32" s="94">
        <v>0.49896000000000001</v>
      </c>
      <c r="K32" s="94">
        <v>0.499</v>
      </c>
    </row>
    <row r="33" spans="1:11" x14ac:dyDescent="0.2">
      <c r="A33" s="95">
        <v>3.1</v>
      </c>
      <c r="B33" s="94">
        <v>0.49902999999999997</v>
      </c>
      <c r="C33" s="94">
        <v>0.49906</v>
      </c>
      <c r="D33" s="94">
        <v>0.49909999999999999</v>
      </c>
      <c r="E33" s="94">
        <v>0.49913000000000002</v>
      </c>
      <c r="F33" s="94">
        <v>0.49915999999999999</v>
      </c>
      <c r="G33" s="94">
        <v>0.49918000000000001</v>
      </c>
      <c r="H33" s="94">
        <v>0.49920999999999999</v>
      </c>
      <c r="I33" s="94">
        <v>0.49924000000000002</v>
      </c>
      <c r="J33" s="94">
        <v>0.49925999999999998</v>
      </c>
      <c r="K33" s="94">
        <v>0.49929000000000001</v>
      </c>
    </row>
    <row r="34" spans="1:11" x14ac:dyDescent="0.2">
      <c r="A34" s="95">
        <v>3.2</v>
      </c>
      <c r="B34" s="94">
        <v>0.49930999999999998</v>
      </c>
      <c r="C34" s="94">
        <v>0.49934000000000001</v>
      </c>
      <c r="D34" s="94">
        <v>0.49936000000000003</v>
      </c>
      <c r="E34" s="94">
        <v>0.49937999999999999</v>
      </c>
      <c r="F34" s="94">
        <v>0.49940000000000001</v>
      </c>
      <c r="G34" s="94">
        <v>0.49941999999999998</v>
      </c>
      <c r="H34" s="94">
        <v>0.49944</v>
      </c>
      <c r="I34" s="94">
        <v>0.49946000000000002</v>
      </c>
      <c r="J34" s="94">
        <v>0.49947999999999998</v>
      </c>
      <c r="K34" s="94">
        <v>0.4995</v>
      </c>
    </row>
    <row r="35" spans="1:11" x14ac:dyDescent="0.2">
      <c r="A35" s="95">
        <v>3.3</v>
      </c>
      <c r="B35" s="94">
        <v>0.49952000000000002</v>
      </c>
      <c r="C35" s="94">
        <v>0.49952999999999997</v>
      </c>
      <c r="D35" s="94">
        <v>0.49954999999999999</v>
      </c>
      <c r="E35" s="94">
        <v>0.49957000000000001</v>
      </c>
      <c r="F35" s="94">
        <v>0.49958000000000002</v>
      </c>
      <c r="G35" s="94">
        <v>0.49959999999999999</v>
      </c>
      <c r="H35" s="94">
        <v>0.49961</v>
      </c>
      <c r="I35" s="94">
        <v>0.49962000000000001</v>
      </c>
      <c r="J35" s="94">
        <v>0.49963999999999997</v>
      </c>
      <c r="K35" s="94">
        <v>0.49964999999999998</v>
      </c>
    </row>
    <row r="36" spans="1:11" x14ac:dyDescent="0.2">
      <c r="A36" s="95">
        <v>3.4</v>
      </c>
      <c r="B36" s="94">
        <v>0.49965999999999999</v>
      </c>
      <c r="C36" s="94">
        <v>0.49968000000000001</v>
      </c>
      <c r="D36" s="94">
        <v>0.49969000000000002</v>
      </c>
      <c r="E36" s="94">
        <v>0.49969999999999998</v>
      </c>
      <c r="F36" s="94">
        <v>0.49970999999999999</v>
      </c>
      <c r="G36" s="94">
        <v>0.49972</v>
      </c>
      <c r="H36" s="94">
        <v>0.49973000000000001</v>
      </c>
      <c r="I36" s="94">
        <v>0.49974000000000002</v>
      </c>
      <c r="J36" s="94">
        <v>0.49975000000000003</v>
      </c>
      <c r="K36" s="94">
        <v>0.49975999999999998</v>
      </c>
    </row>
    <row r="37" spans="1:11" x14ac:dyDescent="0.2">
      <c r="A37" s="95">
        <v>3.5</v>
      </c>
      <c r="B37" s="94">
        <v>0.49976999999999999</v>
      </c>
      <c r="C37" s="94">
        <v>0.49978</v>
      </c>
      <c r="D37" s="94">
        <v>0.49978</v>
      </c>
      <c r="E37" s="94">
        <v>0.49979000000000001</v>
      </c>
      <c r="F37" s="94">
        <v>0.49980000000000002</v>
      </c>
      <c r="G37" s="94">
        <v>0.49980999999999998</v>
      </c>
      <c r="H37" s="94">
        <v>0.49980999999999998</v>
      </c>
      <c r="I37" s="94">
        <v>0.49981999999999999</v>
      </c>
      <c r="J37" s="94">
        <v>0.49983</v>
      </c>
      <c r="K37" s="94">
        <v>0.49983</v>
      </c>
    </row>
    <row r="38" spans="1:11" x14ac:dyDescent="0.2">
      <c r="A38" s="95">
        <v>3.6</v>
      </c>
      <c r="B38" s="94">
        <v>0.49984000000000001</v>
      </c>
      <c r="C38" s="94">
        <v>0.49985000000000002</v>
      </c>
      <c r="D38" s="94">
        <v>0.49985000000000002</v>
      </c>
      <c r="E38" s="94">
        <v>0.49986000000000003</v>
      </c>
      <c r="F38" s="94">
        <v>0.49986000000000003</v>
      </c>
      <c r="G38" s="94">
        <v>0.49986999999999998</v>
      </c>
      <c r="H38" s="94">
        <v>0.49986999999999998</v>
      </c>
      <c r="I38" s="94">
        <v>0.49987999999999999</v>
      </c>
      <c r="J38" s="94">
        <v>0.49987999999999999</v>
      </c>
      <c r="K38" s="94">
        <v>0.49989</v>
      </c>
    </row>
    <row r="39" spans="1:11" x14ac:dyDescent="0.2">
      <c r="A39" s="95">
        <v>3.7</v>
      </c>
      <c r="B39" s="94">
        <v>0.49989</v>
      </c>
      <c r="C39" s="94">
        <v>0.49990000000000001</v>
      </c>
      <c r="D39" s="94">
        <v>0.49990000000000001</v>
      </c>
      <c r="E39" s="94">
        <v>0.49990000000000001</v>
      </c>
      <c r="F39" s="94">
        <v>0.49991000000000002</v>
      </c>
      <c r="G39" s="94">
        <v>0.49991000000000002</v>
      </c>
      <c r="H39" s="94">
        <v>0.49991999999999998</v>
      </c>
      <c r="I39" s="94">
        <v>0.49991999999999998</v>
      </c>
      <c r="J39" s="94">
        <v>0.49991999999999998</v>
      </c>
      <c r="K39" s="94">
        <v>0.49991999999999998</v>
      </c>
    </row>
    <row r="40" spans="1:11" x14ac:dyDescent="0.2">
      <c r="A40" s="95">
        <v>3.8</v>
      </c>
      <c r="B40" s="94">
        <v>0.49992999999999999</v>
      </c>
      <c r="C40" s="94">
        <v>0.49992999999999999</v>
      </c>
      <c r="D40" s="94">
        <v>0.49992999999999999</v>
      </c>
      <c r="E40" s="94">
        <v>0.49994</v>
      </c>
      <c r="F40" s="94">
        <v>0.49994</v>
      </c>
      <c r="G40" s="94">
        <v>0.49994</v>
      </c>
      <c r="H40" s="94">
        <v>0.49994</v>
      </c>
      <c r="I40" s="94">
        <v>0.49995000000000001</v>
      </c>
      <c r="J40" s="94">
        <v>0.49995000000000001</v>
      </c>
      <c r="K40" s="94">
        <v>0.49995000000000001</v>
      </c>
    </row>
    <row r="41" spans="1:11" x14ac:dyDescent="0.2">
      <c r="A41" s="95">
        <v>3.9</v>
      </c>
      <c r="B41" s="94">
        <v>0.49995000000000001</v>
      </c>
      <c r="C41" s="94">
        <v>0.49995000000000001</v>
      </c>
      <c r="D41" s="94">
        <v>0.49996000000000002</v>
      </c>
      <c r="E41" s="94">
        <v>0.49996000000000002</v>
      </c>
      <c r="F41" s="94">
        <v>0.49996000000000002</v>
      </c>
      <c r="G41" s="94">
        <v>0.49996000000000002</v>
      </c>
      <c r="H41" s="94">
        <v>0.49996000000000002</v>
      </c>
      <c r="I41" s="94">
        <v>0.49996000000000002</v>
      </c>
      <c r="J41" s="94">
        <v>0.49997000000000003</v>
      </c>
      <c r="K41" s="94">
        <v>0.49997000000000003</v>
      </c>
    </row>
    <row r="42" spans="1:11" x14ac:dyDescent="0.2">
      <c r="A42" s="95">
        <v>4</v>
      </c>
      <c r="B42" s="94">
        <v>0.49997000000000003</v>
      </c>
      <c r="C42" s="94">
        <v>0.49997000000000003</v>
      </c>
      <c r="D42" s="94">
        <v>0.49997000000000003</v>
      </c>
      <c r="E42" s="94">
        <v>0.49997000000000003</v>
      </c>
      <c r="F42" s="94">
        <v>0.49997000000000003</v>
      </c>
      <c r="G42" s="94">
        <v>0.49997000000000003</v>
      </c>
      <c r="H42" s="94">
        <v>0.49997999999999998</v>
      </c>
      <c r="I42" s="94">
        <v>0.49997999999999998</v>
      </c>
      <c r="J42" s="94">
        <v>0.49997999999999998</v>
      </c>
      <c r="K42" s="94">
        <v>0.49997999999999998</v>
      </c>
    </row>
  </sheetData>
  <conditionalFormatting sqref="A2:A42">
    <cfRule type="cellIs" dxfId="3" priority="7" operator="equal">
      <formula>$O$3</formula>
    </cfRule>
  </conditionalFormatting>
  <conditionalFormatting sqref="B1:K1">
    <cfRule type="cellIs" dxfId="2" priority="6"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F653-6339-4C20-BBA5-321E322DC458}">
  <dimension ref="A1:AF42"/>
  <sheetViews>
    <sheetView workbookViewId="0"/>
  </sheetViews>
  <sheetFormatPr defaultRowHeight="12" x14ac:dyDescent="0.2"/>
  <sheetData>
    <row r="1" spans="1:32" x14ac:dyDescent="0.2">
      <c r="A1" t="s">
        <v>2</v>
      </c>
    </row>
    <row r="2" spans="1:32" x14ac:dyDescent="0.2">
      <c r="U2" s="53"/>
      <c r="V2" s="55"/>
      <c r="W2" s="55"/>
      <c r="X2" s="55"/>
      <c r="Y2" s="55"/>
      <c r="Z2" s="55"/>
      <c r="AA2" s="56"/>
      <c r="AB2" s="55"/>
      <c r="AC2" s="56"/>
      <c r="AD2" s="56"/>
      <c r="AE2" s="56"/>
      <c r="AF2" s="56"/>
    </row>
    <row r="3" spans="1:32" x14ac:dyDescent="0.2">
      <c r="U3" s="53"/>
      <c r="V3" s="55"/>
      <c r="W3" s="55"/>
      <c r="X3" s="55"/>
      <c r="Y3" s="55"/>
      <c r="Z3" s="55"/>
      <c r="AA3" s="55"/>
      <c r="AB3" s="55"/>
      <c r="AC3" s="55"/>
      <c r="AD3" s="56"/>
      <c r="AE3" s="56"/>
      <c r="AF3" s="56"/>
    </row>
    <row r="4" spans="1:32" x14ac:dyDescent="0.2">
      <c r="U4" s="44"/>
      <c r="V4" s="14"/>
      <c r="W4" s="14"/>
      <c r="X4" s="14"/>
      <c r="Y4" s="14"/>
      <c r="Z4" s="14"/>
      <c r="AA4" s="14"/>
      <c r="AB4" s="14"/>
      <c r="AC4" s="14"/>
      <c r="AD4" s="14"/>
      <c r="AE4" s="14"/>
      <c r="AF4" s="14"/>
    </row>
    <row r="5" spans="1:32" x14ac:dyDescent="0.2">
      <c r="U5" s="44"/>
      <c r="V5" s="14"/>
      <c r="W5" s="14"/>
      <c r="X5" s="14"/>
      <c r="Y5" s="14"/>
      <c r="Z5" s="14"/>
      <c r="AA5" s="14"/>
      <c r="AB5" s="14"/>
      <c r="AC5" s="14"/>
      <c r="AD5" s="14"/>
      <c r="AE5" s="14"/>
      <c r="AF5" s="14"/>
    </row>
    <row r="6" spans="1:32" x14ac:dyDescent="0.2">
      <c r="U6" s="44"/>
      <c r="V6" s="14"/>
      <c r="W6" s="14"/>
      <c r="X6" s="14"/>
      <c r="Y6" s="14"/>
      <c r="Z6" s="14"/>
      <c r="AA6" s="14"/>
      <c r="AB6" s="14"/>
      <c r="AC6" s="14"/>
      <c r="AD6" s="14"/>
      <c r="AE6" s="14"/>
      <c r="AF6" s="14"/>
    </row>
    <row r="7" spans="1:32" x14ac:dyDescent="0.2">
      <c r="U7" s="44"/>
      <c r="V7" s="14"/>
      <c r="W7" s="14"/>
      <c r="X7" s="14"/>
      <c r="Y7" s="14"/>
      <c r="Z7" s="14"/>
      <c r="AA7" s="14"/>
      <c r="AB7" s="14"/>
      <c r="AC7" s="14"/>
      <c r="AD7" s="14"/>
      <c r="AE7" s="14"/>
      <c r="AF7" s="14"/>
    </row>
    <row r="8" spans="1:32" x14ac:dyDescent="0.2">
      <c r="U8" s="44"/>
      <c r="V8" s="14"/>
      <c r="W8" s="14"/>
      <c r="X8" s="14"/>
      <c r="Y8" s="14"/>
      <c r="Z8" s="14"/>
      <c r="AA8" s="14"/>
      <c r="AB8" s="14"/>
      <c r="AC8" s="14"/>
      <c r="AD8" s="14"/>
      <c r="AE8" s="14"/>
      <c r="AF8" s="14"/>
    </row>
    <row r="9" spans="1:32" x14ac:dyDescent="0.2">
      <c r="U9" s="44"/>
      <c r="V9" s="14"/>
      <c r="W9" s="14"/>
      <c r="X9" s="14"/>
      <c r="Y9" s="14"/>
      <c r="Z9" s="14"/>
      <c r="AA9" s="14"/>
      <c r="AB9" s="14"/>
      <c r="AC9" s="14"/>
      <c r="AD9" s="14"/>
      <c r="AE9" s="14"/>
      <c r="AF9" s="14"/>
    </row>
    <row r="10" spans="1:32" x14ac:dyDescent="0.2">
      <c r="U10" s="44"/>
      <c r="V10" s="14"/>
      <c r="W10" s="14"/>
      <c r="X10" s="14"/>
      <c r="Y10" s="14"/>
      <c r="Z10" s="14"/>
      <c r="AA10" s="14"/>
      <c r="AB10" s="14"/>
      <c r="AC10" s="14"/>
      <c r="AD10" s="14"/>
      <c r="AE10" s="14"/>
      <c r="AF10" s="14"/>
    </row>
    <row r="11" spans="1:32" x14ac:dyDescent="0.2">
      <c r="U11" s="44"/>
      <c r="V11" s="14"/>
      <c r="W11" s="14"/>
      <c r="X11" s="14"/>
      <c r="Y11" s="14"/>
      <c r="Z11" s="14"/>
      <c r="AA11" s="14"/>
      <c r="AB11" s="14"/>
      <c r="AC11" s="14"/>
      <c r="AD11" s="14"/>
      <c r="AE11" s="14"/>
      <c r="AF11" s="14"/>
    </row>
    <row r="12" spans="1:32" x14ac:dyDescent="0.2">
      <c r="U12" s="44"/>
      <c r="V12" s="14"/>
      <c r="W12" s="14"/>
      <c r="X12" s="14"/>
      <c r="Y12" s="14"/>
      <c r="Z12" s="14"/>
      <c r="AA12" s="14"/>
      <c r="AB12" s="14"/>
      <c r="AC12" s="14"/>
      <c r="AD12" s="14"/>
      <c r="AE12" s="14"/>
      <c r="AF12" s="14"/>
    </row>
    <row r="13" spans="1:32" x14ac:dyDescent="0.2">
      <c r="U13" s="44"/>
      <c r="V13" s="14"/>
      <c r="W13" s="14"/>
      <c r="X13" s="14"/>
      <c r="Y13" s="14"/>
      <c r="Z13" s="14"/>
      <c r="AA13" s="14"/>
      <c r="AB13" s="14"/>
      <c r="AC13" s="14"/>
      <c r="AD13" s="14"/>
      <c r="AE13" s="14"/>
      <c r="AF13" s="14"/>
    </row>
    <row r="14" spans="1:32" x14ac:dyDescent="0.2">
      <c r="U14" s="44"/>
      <c r="V14" s="14"/>
      <c r="W14" s="14"/>
      <c r="X14" s="14"/>
      <c r="Y14" s="14"/>
      <c r="Z14" s="14"/>
      <c r="AA14" s="14"/>
      <c r="AB14" s="14"/>
      <c r="AC14" s="14"/>
      <c r="AD14" s="14"/>
      <c r="AE14" s="14"/>
      <c r="AF14" s="14"/>
    </row>
    <row r="15" spans="1:32" x14ac:dyDescent="0.2">
      <c r="U15" s="44"/>
      <c r="V15" s="14"/>
      <c r="W15" s="14"/>
      <c r="X15" s="14"/>
      <c r="Y15" s="14"/>
      <c r="Z15" s="14"/>
      <c r="AA15" s="14"/>
      <c r="AB15" s="14"/>
      <c r="AC15" s="14"/>
      <c r="AD15" s="14"/>
      <c r="AE15" s="14"/>
      <c r="AF15" s="14"/>
    </row>
    <row r="16" spans="1:32" x14ac:dyDescent="0.2">
      <c r="U16" s="44"/>
      <c r="V16" s="14"/>
      <c r="W16" s="14"/>
      <c r="X16" s="14"/>
      <c r="Y16" s="14"/>
      <c r="Z16" s="14"/>
      <c r="AA16" s="14"/>
      <c r="AB16" s="14"/>
      <c r="AC16" s="14"/>
      <c r="AD16" s="14"/>
      <c r="AE16" s="14"/>
      <c r="AF16" s="14"/>
    </row>
    <row r="17" spans="21:32" x14ac:dyDescent="0.2">
      <c r="U17" s="44"/>
      <c r="V17" s="14"/>
      <c r="W17" s="14"/>
      <c r="X17" s="14"/>
      <c r="Y17" s="14"/>
      <c r="Z17" s="14"/>
      <c r="AA17" s="14"/>
      <c r="AB17" s="14"/>
      <c r="AC17" s="14"/>
      <c r="AD17" s="14"/>
      <c r="AE17" s="14"/>
      <c r="AF17" s="14"/>
    </row>
    <row r="18" spans="21:32" x14ac:dyDescent="0.2">
      <c r="U18" s="44"/>
      <c r="V18" s="14"/>
      <c r="W18" s="14"/>
      <c r="X18" s="14"/>
      <c r="Y18" s="14"/>
      <c r="Z18" s="14"/>
      <c r="AA18" s="14"/>
      <c r="AB18" s="14"/>
      <c r="AC18" s="14"/>
      <c r="AD18" s="14"/>
      <c r="AE18" s="14"/>
      <c r="AF18" s="14"/>
    </row>
    <row r="19" spans="21:32" x14ac:dyDescent="0.2">
      <c r="U19" s="44"/>
      <c r="V19" s="14"/>
      <c r="W19" s="14"/>
      <c r="X19" s="14"/>
      <c r="Y19" s="14"/>
      <c r="Z19" s="14"/>
      <c r="AA19" s="14"/>
      <c r="AB19" s="14"/>
      <c r="AC19" s="14"/>
      <c r="AD19" s="14"/>
      <c r="AE19" s="14"/>
      <c r="AF19" s="14"/>
    </row>
    <row r="20" spans="21:32" x14ac:dyDescent="0.2">
      <c r="U20" s="44"/>
      <c r="V20" s="14"/>
      <c r="W20" s="14"/>
      <c r="X20" s="14"/>
      <c r="Y20" s="14"/>
      <c r="Z20" s="14"/>
      <c r="AA20" s="14"/>
      <c r="AB20" s="14"/>
      <c r="AC20" s="14"/>
      <c r="AD20" s="14"/>
      <c r="AE20" s="14"/>
      <c r="AF20" s="14"/>
    </row>
    <row r="21" spans="21:32" x14ac:dyDescent="0.2">
      <c r="U21" s="44"/>
      <c r="V21" s="14"/>
      <c r="W21" s="14"/>
      <c r="X21" s="14"/>
      <c r="Y21" s="14"/>
      <c r="Z21" s="14"/>
      <c r="AA21" s="14"/>
      <c r="AB21" s="14"/>
      <c r="AC21" s="14"/>
      <c r="AD21" s="14"/>
      <c r="AE21" s="14"/>
      <c r="AF21" s="14"/>
    </row>
    <row r="22" spans="21:32" x14ac:dyDescent="0.2">
      <c r="U22" s="44"/>
      <c r="V22" s="14"/>
      <c r="W22" s="14"/>
      <c r="X22" s="14"/>
      <c r="Y22" s="14"/>
      <c r="Z22" s="14"/>
      <c r="AA22" s="14"/>
      <c r="AB22" s="14"/>
      <c r="AC22" s="14"/>
      <c r="AD22" s="14"/>
      <c r="AE22" s="14"/>
      <c r="AF22" s="14"/>
    </row>
    <row r="23" spans="21:32" x14ac:dyDescent="0.2">
      <c r="U23" s="44"/>
      <c r="V23" s="14"/>
      <c r="W23" s="14"/>
      <c r="X23" s="14"/>
      <c r="Y23" s="14"/>
      <c r="Z23" s="14"/>
      <c r="AA23" s="14"/>
      <c r="AB23" s="14"/>
      <c r="AC23" s="14"/>
      <c r="AD23" s="14"/>
      <c r="AE23" s="14"/>
      <c r="AF23" s="14"/>
    </row>
    <row r="24" spans="21:32" x14ac:dyDescent="0.2">
      <c r="U24" s="44"/>
      <c r="V24" s="14"/>
      <c r="W24" s="14"/>
      <c r="X24" s="14"/>
      <c r="Y24" s="14"/>
      <c r="Z24" s="14"/>
      <c r="AA24" s="14"/>
      <c r="AB24" s="14"/>
      <c r="AC24" s="14"/>
      <c r="AD24" s="14"/>
      <c r="AE24" s="14"/>
      <c r="AF24" s="14"/>
    </row>
    <row r="25" spans="21:32" x14ac:dyDescent="0.2">
      <c r="U25" s="44"/>
      <c r="V25" s="14"/>
      <c r="W25" s="14"/>
      <c r="X25" s="14"/>
      <c r="Y25" s="14"/>
      <c r="Z25" s="14"/>
      <c r="AA25" s="14"/>
      <c r="AB25" s="14"/>
      <c r="AC25" s="14"/>
      <c r="AD25" s="14"/>
      <c r="AE25" s="14"/>
      <c r="AF25" s="14"/>
    </row>
    <row r="26" spans="21:32" x14ac:dyDescent="0.2">
      <c r="U26" s="44"/>
      <c r="V26" s="14"/>
      <c r="W26" s="14"/>
      <c r="X26" s="14"/>
      <c r="Y26" s="14"/>
      <c r="Z26" s="14"/>
      <c r="AA26" s="14"/>
      <c r="AB26" s="14"/>
      <c r="AC26" s="14"/>
      <c r="AD26" s="14"/>
      <c r="AE26" s="14"/>
      <c r="AF26" s="14"/>
    </row>
    <row r="27" spans="21:32" x14ac:dyDescent="0.2">
      <c r="U27" s="44"/>
      <c r="V27" s="14"/>
      <c r="W27" s="14"/>
      <c r="X27" s="14"/>
      <c r="Y27" s="14"/>
      <c r="Z27" s="14"/>
      <c r="AA27" s="14"/>
      <c r="AB27" s="14"/>
      <c r="AC27" s="14"/>
      <c r="AD27" s="14"/>
      <c r="AE27" s="14"/>
      <c r="AF27" s="14"/>
    </row>
    <row r="28" spans="21:32" x14ac:dyDescent="0.2">
      <c r="U28" s="44"/>
      <c r="V28" s="14"/>
      <c r="W28" s="14"/>
      <c r="X28" s="14"/>
      <c r="Y28" s="14"/>
      <c r="Z28" s="14"/>
      <c r="AA28" s="14"/>
      <c r="AB28" s="14"/>
      <c r="AC28" s="14"/>
      <c r="AD28" s="14"/>
      <c r="AE28" s="14"/>
      <c r="AF28" s="14"/>
    </row>
    <row r="29" spans="21:32" x14ac:dyDescent="0.2">
      <c r="U29" s="44"/>
      <c r="V29" s="14"/>
      <c r="W29" s="14"/>
      <c r="X29" s="14"/>
      <c r="Y29" s="14"/>
      <c r="Z29" s="14"/>
      <c r="AA29" s="14"/>
      <c r="AB29" s="14"/>
      <c r="AC29" s="14"/>
      <c r="AD29" s="14"/>
      <c r="AE29" s="14"/>
      <c r="AF29" s="14"/>
    </row>
    <row r="30" spans="21:32" x14ac:dyDescent="0.2">
      <c r="U30" s="44"/>
      <c r="V30" s="14"/>
      <c r="W30" s="14"/>
      <c r="X30" s="14"/>
      <c r="Y30" s="14"/>
      <c r="Z30" s="14"/>
      <c r="AA30" s="14"/>
      <c r="AB30" s="14"/>
      <c r="AC30" s="14"/>
      <c r="AD30" s="14"/>
      <c r="AE30" s="14"/>
      <c r="AF30" s="14"/>
    </row>
    <row r="31" spans="21:32" x14ac:dyDescent="0.2">
      <c r="U31" s="44"/>
      <c r="V31" s="14"/>
      <c r="W31" s="14"/>
      <c r="X31" s="14"/>
      <c r="Y31" s="14"/>
      <c r="Z31" s="14"/>
      <c r="AA31" s="14"/>
      <c r="AB31" s="14"/>
      <c r="AC31" s="14"/>
      <c r="AD31" s="14"/>
      <c r="AE31" s="14"/>
      <c r="AF31" s="14"/>
    </row>
    <row r="32" spans="21:32" x14ac:dyDescent="0.2">
      <c r="U32" s="44"/>
      <c r="V32" s="14"/>
      <c r="W32" s="14"/>
      <c r="X32" s="14"/>
      <c r="Y32" s="14"/>
      <c r="Z32" s="14"/>
      <c r="AA32" s="14"/>
      <c r="AB32" s="14"/>
      <c r="AC32" s="14"/>
      <c r="AD32" s="14"/>
      <c r="AE32" s="14"/>
      <c r="AF32" s="14"/>
    </row>
    <row r="33" spans="21:32" x14ac:dyDescent="0.2">
      <c r="U33" s="44"/>
      <c r="V33" s="14"/>
      <c r="W33" s="14"/>
      <c r="X33" s="14"/>
      <c r="Y33" s="14"/>
      <c r="Z33" s="14"/>
      <c r="AA33" s="14"/>
      <c r="AB33" s="14"/>
      <c r="AC33" s="14"/>
      <c r="AD33" s="14"/>
      <c r="AE33" s="14"/>
      <c r="AF33" s="14"/>
    </row>
    <row r="34" spans="21:32" x14ac:dyDescent="0.2">
      <c r="U34" s="44"/>
      <c r="V34" s="14"/>
      <c r="W34" s="14"/>
      <c r="X34" s="14"/>
      <c r="Y34" s="14"/>
      <c r="Z34" s="14"/>
      <c r="AA34" s="14"/>
      <c r="AB34" s="14"/>
      <c r="AC34" s="14"/>
      <c r="AD34" s="14"/>
      <c r="AE34" s="14"/>
      <c r="AF34" s="14"/>
    </row>
    <row r="35" spans="21:32" x14ac:dyDescent="0.2">
      <c r="U35" s="44"/>
      <c r="V35" s="14"/>
      <c r="W35" s="14"/>
      <c r="X35" s="14"/>
      <c r="Y35" s="14"/>
      <c r="Z35" s="14"/>
      <c r="AA35" s="14"/>
      <c r="AB35" s="14"/>
      <c r="AC35" s="14"/>
      <c r="AD35" s="14"/>
      <c r="AE35" s="14"/>
      <c r="AF35" s="14"/>
    </row>
    <row r="36" spans="21:32" x14ac:dyDescent="0.2">
      <c r="U36" s="44"/>
      <c r="V36" s="14"/>
      <c r="W36" s="14"/>
      <c r="X36" s="14"/>
      <c r="Y36" s="14"/>
      <c r="Z36" s="14"/>
      <c r="AA36" s="14"/>
      <c r="AB36" s="14"/>
      <c r="AC36" s="14"/>
      <c r="AD36" s="14"/>
      <c r="AE36" s="14"/>
      <c r="AF36" s="14"/>
    </row>
    <row r="37" spans="21:32" x14ac:dyDescent="0.2">
      <c r="U37" s="44"/>
      <c r="V37" s="14"/>
      <c r="W37" s="14"/>
      <c r="X37" s="14"/>
      <c r="Y37" s="14"/>
      <c r="Z37" s="14"/>
      <c r="AA37" s="14"/>
      <c r="AB37" s="14"/>
      <c r="AC37" s="14"/>
      <c r="AD37" s="14"/>
      <c r="AE37" s="14"/>
      <c r="AF37" s="14"/>
    </row>
    <row r="38" spans="21:32" x14ac:dyDescent="0.2">
      <c r="U38" s="44"/>
      <c r="V38" s="14"/>
      <c r="W38" s="14"/>
      <c r="X38" s="14"/>
      <c r="Y38" s="14"/>
      <c r="Z38" s="14"/>
      <c r="AA38" s="14"/>
      <c r="AB38" s="14"/>
      <c r="AC38" s="14"/>
      <c r="AD38" s="14"/>
      <c r="AE38" s="14"/>
      <c r="AF38" s="14"/>
    </row>
    <row r="39" spans="21:32" x14ac:dyDescent="0.2">
      <c r="U39" s="44"/>
      <c r="V39" s="14"/>
      <c r="W39" s="14"/>
      <c r="X39" s="14"/>
      <c r="Y39" s="14"/>
      <c r="Z39" s="14"/>
      <c r="AA39" s="14"/>
      <c r="AB39" s="14"/>
      <c r="AC39" s="14"/>
      <c r="AD39" s="14"/>
      <c r="AE39" s="14"/>
      <c r="AF39" s="14"/>
    </row>
    <row r="40" spans="21:32" x14ac:dyDescent="0.2">
      <c r="U40" s="44"/>
      <c r="V40" s="14"/>
      <c r="W40" s="14"/>
      <c r="X40" s="14"/>
      <c r="Y40" s="14"/>
      <c r="Z40" s="14"/>
      <c r="AA40" s="14"/>
      <c r="AB40" s="14"/>
      <c r="AC40" s="14"/>
      <c r="AD40" s="14"/>
      <c r="AE40" s="14"/>
      <c r="AF40" s="14"/>
    </row>
    <row r="41" spans="21:32" x14ac:dyDescent="0.2">
      <c r="U41" s="53"/>
      <c r="V41" s="55"/>
      <c r="W41" s="55"/>
      <c r="X41" s="55"/>
      <c r="Y41" s="55"/>
      <c r="Z41" s="55"/>
      <c r="AA41" s="56"/>
      <c r="AB41" s="55"/>
      <c r="AC41" s="56"/>
      <c r="AD41" s="56"/>
      <c r="AE41" s="56"/>
      <c r="AF41" s="56"/>
    </row>
    <row r="42" spans="21:32" x14ac:dyDescent="0.2">
      <c r="U42" s="53"/>
      <c r="V42" s="55"/>
      <c r="W42" s="55"/>
      <c r="X42" s="55"/>
      <c r="Y42" s="55"/>
      <c r="Z42" s="55"/>
      <c r="AA42" s="55"/>
      <c r="AB42" s="55"/>
      <c r="AC42" s="55"/>
      <c r="AD42" s="56"/>
      <c r="AE42" s="56"/>
      <c r="AF42" s="56"/>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4AF8-1319-4596-B7F0-E5DB712123D7}">
  <dimension ref="B1:W40"/>
  <sheetViews>
    <sheetView topLeftCell="S1" zoomScale="75" zoomScaleNormal="75" workbookViewId="0">
      <selection activeCell="W39" sqref="W39:W40"/>
    </sheetView>
  </sheetViews>
  <sheetFormatPr defaultRowHeight="12" x14ac:dyDescent="0.2"/>
  <cols>
    <col min="3" max="3" width="1.7109375" bestFit="1" customWidth="1"/>
  </cols>
  <sheetData>
    <row r="1" spans="2:8" x14ac:dyDescent="0.2">
      <c r="B1" t="s">
        <v>1</v>
      </c>
    </row>
    <row r="3" spans="2:8" x14ac:dyDescent="0.2">
      <c r="B3" s="1">
        <v>0.95</v>
      </c>
      <c r="C3" t="s">
        <v>0</v>
      </c>
      <c r="D3" s="2">
        <v>1.96</v>
      </c>
      <c r="H3" s="1"/>
    </row>
    <row r="4" spans="2:8" x14ac:dyDescent="0.2">
      <c r="B4" s="1">
        <v>0.99</v>
      </c>
      <c r="C4" t="s">
        <v>0</v>
      </c>
      <c r="D4" s="2">
        <v>2.5750000000000002</v>
      </c>
      <c r="H4" s="1"/>
    </row>
    <row r="5" spans="2:8" x14ac:dyDescent="0.2">
      <c r="B5" s="1">
        <v>0.9</v>
      </c>
      <c r="C5" t="s">
        <v>0</v>
      </c>
      <c r="D5" s="2">
        <v>1.645</v>
      </c>
      <c r="H5" s="1"/>
    </row>
    <row r="40" spans="23:23" x14ac:dyDescent="0.2">
      <c r="W40" s="3"/>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E6799-B139-41BA-9387-4FE79564F5E2}">
  <dimension ref="A13:Q21"/>
  <sheetViews>
    <sheetView workbookViewId="0">
      <selection activeCell="X26" sqref="X26"/>
    </sheetView>
  </sheetViews>
  <sheetFormatPr defaultRowHeight="12" x14ac:dyDescent="0.2"/>
  <sheetData>
    <row r="13" spans="16:17" x14ac:dyDescent="0.2">
      <c r="P13" t="s">
        <v>9</v>
      </c>
      <c r="Q13" t="s">
        <v>10</v>
      </c>
    </row>
    <row r="14" spans="16:17" x14ac:dyDescent="0.2">
      <c r="P14">
        <v>1</v>
      </c>
      <c r="Q14">
        <v>0.1</v>
      </c>
    </row>
    <row r="15" spans="16:17" x14ac:dyDescent="0.2">
      <c r="P15">
        <v>2</v>
      </c>
      <c r="Q15">
        <v>0.2</v>
      </c>
    </row>
    <row r="16" spans="16:17" x14ac:dyDescent="0.2">
      <c r="P16">
        <v>3</v>
      </c>
      <c r="Q16">
        <v>0.3</v>
      </c>
    </row>
    <row r="18" spans="1:17" x14ac:dyDescent="0.2">
      <c r="P18" t="s">
        <v>11</v>
      </c>
      <c r="Q18">
        <f>P14*Q14+P15*Q15+P16*Q16</f>
        <v>1.4</v>
      </c>
    </row>
    <row r="21" spans="1:17" x14ac:dyDescent="0.2">
      <c r="A21">
        <f>_xlfn.BINOM.DIST(3,8,0.08,FALSE)</f>
        <v>1.8897185433190394E-2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74DD-A5ED-4FCF-BC65-F048540646E6}">
  <dimension ref="A1"/>
  <sheetViews>
    <sheetView workbookViewId="0">
      <selection activeCell="O20" sqref="O20"/>
    </sheetView>
  </sheetViews>
  <sheetFormatPr defaultRowHeight="12"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1366-04A5-404C-AF0A-B8AC4F82CC4B}">
  <dimension ref="A1"/>
  <sheetViews>
    <sheetView tabSelected="1" workbookViewId="0"/>
  </sheetViews>
  <sheetFormatPr defaultRowHeight="12"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36C7-A2A0-4A6A-8382-CCEB333CBA4D}">
  <dimension ref="B30:AA36"/>
  <sheetViews>
    <sheetView workbookViewId="0">
      <selection activeCell="B36" sqref="B36"/>
    </sheetView>
  </sheetViews>
  <sheetFormatPr defaultRowHeight="12" x14ac:dyDescent="0.2"/>
  <sheetData>
    <row r="30" spans="27:27" x14ac:dyDescent="0.2">
      <c r="AA30">
        <f>_xlfn.NORM.S.DIST(1.2,TRUE)</f>
        <v>0.88493032977829178</v>
      </c>
    </row>
    <row r="31" spans="27:27" x14ac:dyDescent="0.2">
      <c r="AA31">
        <f>_xlfn.NORM.S.DIST(1.85,TRUE)</f>
        <v>0.96784322520438626</v>
      </c>
    </row>
    <row r="32" spans="27:27" x14ac:dyDescent="0.2">
      <c r="AA32">
        <f>AA31-AA30</f>
        <v>8.2912895426094479E-2</v>
      </c>
    </row>
    <row r="34" spans="2:2" x14ac:dyDescent="0.2">
      <c r="B34">
        <f>_xlfn.NORM.DIST(10.56,8,4,TRUE)</f>
        <v>0.73891370030713843</v>
      </c>
    </row>
    <row r="35" spans="2:2" x14ac:dyDescent="0.2">
      <c r="B35">
        <f>_xlfn.NORM.DIST(6.48,8,4,TRUE)</f>
        <v>0.35197270757583721</v>
      </c>
    </row>
    <row r="36" spans="2:2" x14ac:dyDescent="0.2">
      <c r="B36">
        <f>B34-B35</f>
        <v>0.38694099273130123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93E1-3AD0-4806-B54A-D8E0EF1F440F}">
  <dimension ref="J6:K20"/>
  <sheetViews>
    <sheetView workbookViewId="0">
      <selection activeCell="A24" sqref="A24"/>
    </sheetView>
  </sheetViews>
  <sheetFormatPr defaultRowHeight="12" x14ac:dyDescent="0.2"/>
  <sheetData>
    <row r="6" spans="10:10" x14ac:dyDescent="0.2">
      <c r="J6">
        <f>_xlfn.BINOM.DIST(4,12,0.15,FALSE)</f>
        <v>6.8284422509007597E-2</v>
      </c>
    </row>
    <row r="18" spans="10:11" x14ac:dyDescent="0.2">
      <c r="J18" t="s">
        <v>12</v>
      </c>
    </row>
    <row r="20" spans="10:11" x14ac:dyDescent="0.2">
      <c r="K20">
        <f>FACT(10) / (FACT(6)*FACT(10-6))</f>
        <v>210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3669-F3BB-4E8B-85FB-46CEA8782B00}">
  <dimension ref="B9:S33"/>
  <sheetViews>
    <sheetView workbookViewId="0">
      <selection activeCell="Q36" sqref="Q36"/>
    </sheetView>
  </sheetViews>
  <sheetFormatPr defaultRowHeight="12" x14ac:dyDescent="0.2"/>
  <sheetData>
    <row r="9" spans="16:16" x14ac:dyDescent="0.2">
      <c r="P9" t="s">
        <v>14</v>
      </c>
    </row>
    <row r="32" spans="16:19" x14ac:dyDescent="0.2">
      <c r="P32" t="s">
        <v>15</v>
      </c>
      <c r="R32">
        <v>2.3650000000000002</v>
      </c>
      <c r="S32" t="s">
        <v>16</v>
      </c>
    </row>
    <row r="33" spans="2:2" x14ac:dyDescent="0.2">
      <c r="B33" t="s">
        <v>13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008F-CA37-4431-B3A1-51683BB7A34F}">
  <dimension ref="A1"/>
  <sheetViews>
    <sheetView workbookViewId="0">
      <selection activeCell="R19" sqref="R19"/>
    </sheetView>
  </sheetViews>
  <sheetFormatPr defaultRowHeight="12" x14ac:dyDescent="0.2"/>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275F-1C72-4F44-AEAD-705E0BFE2505}">
  <dimension ref="A1"/>
  <sheetViews>
    <sheetView workbookViewId="0">
      <selection activeCell="Q24" sqref="Q24"/>
    </sheetView>
  </sheetViews>
  <sheetFormatPr defaultRowHeight="12" x14ac:dyDescent="0.2"/>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346D-6F46-4133-8309-9CD30D5B8CB9}">
  <dimension ref="A1:B52"/>
  <sheetViews>
    <sheetView workbookViewId="0">
      <selection activeCell="I14" sqref="I14"/>
    </sheetView>
  </sheetViews>
  <sheetFormatPr defaultRowHeight="12" x14ac:dyDescent="0.2"/>
  <sheetData>
    <row r="1" spans="1:2" x14ac:dyDescent="0.2">
      <c r="A1">
        <v>1</v>
      </c>
    </row>
    <row r="3" spans="1:2" x14ac:dyDescent="0.2">
      <c r="A3" t="s">
        <v>17</v>
      </c>
    </row>
    <row r="4" spans="1:2" x14ac:dyDescent="0.2">
      <c r="A4" t="s">
        <v>18</v>
      </c>
    </row>
    <row r="6" spans="1:2" x14ac:dyDescent="0.2">
      <c r="A6">
        <v>47</v>
      </c>
      <c r="B6" t="s">
        <v>19</v>
      </c>
    </row>
    <row r="7" spans="1:2" x14ac:dyDescent="0.2">
      <c r="A7">
        <v>48</v>
      </c>
      <c r="B7" t="s">
        <v>20</v>
      </c>
    </row>
    <row r="8" spans="1:2" x14ac:dyDescent="0.2">
      <c r="A8">
        <v>49</v>
      </c>
      <c r="B8" t="s">
        <v>21</v>
      </c>
    </row>
    <row r="9" spans="1:2" x14ac:dyDescent="0.2">
      <c r="A9">
        <v>50</v>
      </c>
      <c r="B9" t="s">
        <v>22</v>
      </c>
    </row>
    <row r="23" spans="1:1" x14ac:dyDescent="0.2">
      <c r="A23" s="4"/>
    </row>
    <row r="36" spans="1:1" x14ac:dyDescent="0.2">
      <c r="A36" s="4"/>
    </row>
    <row r="52" spans="1:1" x14ac:dyDescent="0.2">
      <c r="A52" s="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8000-AFEB-4B0D-8B3C-B88A20D949E9}">
  <dimension ref="A1:G24"/>
  <sheetViews>
    <sheetView workbookViewId="0">
      <selection activeCell="F24" sqref="F24"/>
    </sheetView>
  </sheetViews>
  <sheetFormatPr defaultRowHeight="12" x14ac:dyDescent="0.2"/>
  <sheetData>
    <row r="1" spans="1:6" x14ac:dyDescent="0.2">
      <c r="A1">
        <v>2</v>
      </c>
    </row>
    <row r="2" spans="1:6" x14ac:dyDescent="0.2">
      <c r="A2" t="s">
        <v>23</v>
      </c>
    </row>
    <row r="4" spans="1:6" x14ac:dyDescent="0.2">
      <c r="A4" t="s">
        <v>24</v>
      </c>
    </row>
    <row r="5" spans="1:6" x14ac:dyDescent="0.2">
      <c r="B5" t="s">
        <v>25</v>
      </c>
    </row>
    <row r="6" spans="1:6" x14ac:dyDescent="0.2">
      <c r="C6" s="5" t="s">
        <v>41</v>
      </c>
      <c r="D6" t="s">
        <v>4</v>
      </c>
      <c r="E6">
        <v>29</v>
      </c>
    </row>
    <row r="7" spans="1:6" x14ac:dyDescent="0.2">
      <c r="C7" s="5" t="s">
        <v>6</v>
      </c>
      <c r="D7" t="s">
        <v>5</v>
      </c>
      <c r="E7">
        <v>2.5</v>
      </c>
    </row>
    <row r="8" spans="1:6" x14ac:dyDescent="0.2">
      <c r="C8" s="5" t="s">
        <v>8</v>
      </c>
      <c r="D8" t="s">
        <v>45</v>
      </c>
    </row>
    <row r="9" spans="1:6" x14ac:dyDescent="0.2">
      <c r="C9" s="5" t="s">
        <v>42</v>
      </c>
      <c r="D9" t="s">
        <v>43</v>
      </c>
      <c r="E9">
        <v>60</v>
      </c>
    </row>
    <row r="10" spans="1:6" x14ac:dyDescent="0.2">
      <c r="D10" t="s">
        <v>0</v>
      </c>
      <c r="E10">
        <f>(26-29)/(E7/SQRT(E9))</f>
        <v>-9.2951600308978009</v>
      </c>
      <c r="F10" t="s">
        <v>46</v>
      </c>
    </row>
    <row r="11" spans="1:6" x14ac:dyDescent="0.2">
      <c r="E11">
        <f>(26-E6)/(E7/SQRT(E9))</f>
        <v>-9.2951600308978009</v>
      </c>
      <c r="F11" s="8" t="s">
        <v>47</v>
      </c>
    </row>
    <row r="12" spans="1:6" x14ac:dyDescent="0.2">
      <c r="E12" s="6"/>
    </row>
    <row r="16" spans="1:6" x14ac:dyDescent="0.2">
      <c r="B16" t="s">
        <v>26</v>
      </c>
    </row>
    <row r="17" spans="3:7" x14ac:dyDescent="0.2">
      <c r="C17" s="5" t="s">
        <v>41</v>
      </c>
      <c r="D17" t="s">
        <v>4</v>
      </c>
      <c r="E17">
        <v>29</v>
      </c>
      <c r="F17">
        <v>29</v>
      </c>
    </row>
    <row r="18" spans="3:7" x14ac:dyDescent="0.2">
      <c r="C18" s="5" t="s">
        <v>6</v>
      </c>
      <c r="D18" t="s">
        <v>5</v>
      </c>
      <c r="E18">
        <v>2.5</v>
      </c>
      <c r="F18">
        <v>2.5</v>
      </c>
    </row>
    <row r="19" spans="3:7" x14ac:dyDescent="0.2">
      <c r="C19" s="5" t="s">
        <v>8</v>
      </c>
      <c r="D19" t="s">
        <v>45</v>
      </c>
    </row>
    <row r="20" spans="3:7" x14ac:dyDescent="0.2">
      <c r="C20" s="5" t="s">
        <v>42</v>
      </c>
      <c r="D20" t="s">
        <v>43</v>
      </c>
      <c r="E20">
        <v>60</v>
      </c>
      <c r="F20">
        <v>60</v>
      </c>
    </row>
    <row r="21" spans="3:7" x14ac:dyDescent="0.2">
      <c r="C21" s="5" t="s">
        <v>7</v>
      </c>
      <c r="D21" t="s">
        <v>44</v>
      </c>
      <c r="E21">
        <v>30</v>
      </c>
      <c r="F21">
        <v>35</v>
      </c>
    </row>
    <row r="22" spans="3:7" x14ac:dyDescent="0.2">
      <c r="D22" t="s">
        <v>0</v>
      </c>
      <c r="E22" s="7">
        <f>(E21-E17)/(E18/SQRT(E20))</f>
        <v>3.0983866769659336</v>
      </c>
      <c r="F22" s="7">
        <f>(F21-F17)/(F18/SQRT(F20))</f>
        <v>18.590320061795602</v>
      </c>
    </row>
    <row r="23" spans="3:7" x14ac:dyDescent="0.2">
      <c r="F23" s="7"/>
    </row>
    <row r="24" spans="3:7" x14ac:dyDescent="0.2">
      <c r="F24" s="9">
        <f>_xlfn.NORM.S.DIST(F22,TRUE)-_xlfn.NORM.S.DIST(E22,TRUE)</f>
        <v>9.728868468695806E-4</v>
      </c>
      <c r="G24" s="8" t="s">
        <v>48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7E86-DEA3-49C8-83AF-E43EB8C746EF}">
  <dimension ref="A1:B10"/>
  <sheetViews>
    <sheetView topLeftCell="A8" workbookViewId="0">
      <selection activeCell="N7" sqref="N7"/>
    </sheetView>
  </sheetViews>
  <sheetFormatPr defaultRowHeight="12" x14ac:dyDescent="0.2"/>
  <sheetData>
    <row r="1" spans="1:2" x14ac:dyDescent="0.2">
      <c r="A1">
        <v>3</v>
      </c>
    </row>
    <row r="2" spans="1:2" x14ac:dyDescent="0.2">
      <c r="A2" t="s">
        <v>27</v>
      </c>
    </row>
    <row r="4" spans="1:2" x14ac:dyDescent="0.2">
      <c r="A4" t="s">
        <v>28</v>
      </c>
    </row>
    <row r="6" spans="1:2" x14ac:dyDescent="0.2">
      <c r="A6" t="s">
        <v>29</v>
      </c>
    </row>
    <row r="8" spans="1:2" x14ac:dyDescent="0.2">
      <c r="B8" t="s">
        <v>30</v>
      </c>
    </row>
    <row r="10" spans="1:2" x14ac:dyDescent="0.2">
      <c r="A10" t="s">
        <v>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D870-1AF5-4BA7-A868-280D3B31EC1F}">
  <dimension ref="A1:C20"/>
  <sheetViews>
    <sheetView workbookViewId="0">
      <selection activeCell="M8" sqref="M8"/>
    </sheetView>
  </sheetViews>
  <sheetFormatPr defaultRowHeight="12" x14ac:dyDescent="0.2"/>
  <sheetData>
    <row r="1" spans="1:3" x14ac:dyDescent="0.2">
      <c r="A1" t="s">
        <v>32</v>
      </c>
    </row>
    <row r="2" spans="1:3" x14ac:dyDescent="0.2">
      <c r="A2" t="s">
        <v>33</v>
      </c>
    </row>
    <row r="4" spans="1:3" x14ac:dyDescent="0.2">
      <c r="A4" t="s">
        <v>34</v>
      </c>
    </row>
    <row r="5" spans="1:3" x14ac:dyDescent="0.2">
      <c r="A5" t="s">
        <v>35</v>
      </c>
    </row>
    <row r="6" spans="1:3" x14ac:dyDescent="0.2">
      <c r="A6" t="s">
        <v>36</v>
      </c>
    </row>
    <row r="7" spans="1:3" x14ac:dyDescent="0.2">
      <c r="A7">
        <v>0</v>
      </c>
      <c r="B7">
        <v>0.05</v>
      </c>
    </row>
    <row r="8" spans="1:3" x14ac:dyDescent="0.2">
      <c r="A8">
        <v>1</v>
      </c>
      <c r="B8">
        <v>0.15</v>
      </c>
    </row>
    <row r="9" spans="1:3" x14ac:dyDescent="0.2">
      <c r="A9">
        <v>2</v>
      </c>
      <c r="B9">
        <v>0.35</v>
      </c>
    </row>
    <row r="10" spans="1:3" x14ac:dyDescent="0.2">
      <c r="A10">
        <v>3</v>
      </c>
      <c r="B10">
        <v>0.3</v>
      </c>
    </row>
    <row r="11" spans="1:3" x14ac:dyDescent="0.2">
      <c r="A11">
        <v>4</v>
      </c>
      <c r="B11">
        <v>0.15</v>
      </c>
    </row>
    <row r="14" spans="1:3" x14ac:dyDescent="0.2">
      <c r="B14">
        <v>10</v>
      </c>
      <c r="C14" t="s">
        <v>37</v>
      </c>
    </row>
    <row r="16" spans="1:3" x14ac:dyDescent="0.2">
      <c r="A16" t="s">
        <v>38</v>
      </c>
    </row>
    <row r="18" spans="1:2" x14ac:dyDescent="0.2">
      <c r="B18" t="s">
        <v>39</v>
      </c>
    </row>
    <row r="20" spans="1:2" x14ac:dyDescent="0.2">
      <c r="A20" t="s">
        <v>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C6E2D-D1D3-4046-BC2E-41029DB959E3}">
  <dimension ref="A1:A38"/>
  <sheetViews>
    <sheetView workbookViewId="0"/>
  </sheetViews>
  <sheetFormatPr defaultRowHeight="12" x14ac:dyDescent="0.2"/>
  <sheetData>
    <row r="1" spans="1:1" x14ac:dyDescent="0.2">
      <c r="A1" s="17" t="s">
        <v>135</v>
      </c>
    </row>
    <row r="11" spans="1:1" x14ac:dyDescent="0.2">
      <c r="A11" s="17"/>
    </row>
    <row r="12" spans="1:1" x14ac:dyDescent="0.2">
      <c r="A12" s="17"/>
    </row>
    <row r="13" spans="1:1" x14ac:dyDescent="0.2">
      <c r="A13" s="17"/>
    </row>
    <row r="25" spans="1:1" x14ac:dyDescent="0.2">
      <c r="A25" s="17"/>
    </row>
    <row r="26" spans="1:1" x14ac:dyDescent="0.2">
      <c r="A26" s="17"/>
    </row>
    <row r="27" spans="1:1" x14ac:dyDescent="0.2">
      <c r="A27" s="17"/>
    </row>
    <row r="37" spans="1:1" x14ac:dyDescent="0.2">
      <c r="A37" s="17"/>
    </row>
    <row r="38" spans="1:1" x14ac:dyDescent="0.2">
      <c r="A38"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EB1A-E2D5-4376-9BA1-3D6AC5467509}">
  <dimension ref="A1:S41"/>
  <sheetViews>
    <sheetView workbookViewId="0"/>
  </sheetViews>
  <sheetFormatPr defaultRowHeight="12" x14ac:dyDescent="0.2"/>
  <sheetData>
    <row r="1" spans="1:10" x14ac:dyDescent="0.2">
      <c r="A1" s="17" t="s">
        <v>71</v>
      </c>
    </row>
    <row r="2" spans="1:10" x14ac:dyDescent="0.2">
      <c r="A2" s="10" t="s">
        <v>3</v>
      </c>
      <c r="B2" s="10" t="s">
        <v>52</v>
      </c>
    </row>
    <row r="3" spans="1:10" x14ac:dyDescent="0.2">
      <c r="A3" s="10">
        <v>0</v>
      </c>
      <c r="B3" s="10">
        <v>0.2</v>
      </c>
    </row>
    <row r="4" spans="1:10" x14ac:dyDescent="0.2">
      <c r="A4" s="10">
        <v>1</v>
      </c>
      <c r="B4" s="10">
        <v>0.4</v>
      </c>
    </row>
    <row r="5" spans="1:10" x14ac:dyDescent="0.2">
      <c r="A5" s="10">
        <v>2</v>
      </c>
      <c r="B5" s="10">
        <v>0.3</v>
      </c>
    </row>
    <row r="6" spans="1:10" x14ac:dyDescent="0.2">
      <c r="A6" s="10">
        <v>3</v>
      </c>
      <c r="B6" s="10">
        <v>0.1</v>
      </c>
    </row>
    <row r="8" spans="1:10" x14ac:dyDescent="0.2">
      <c r="A8" s="10" t="s">
        <v>3</v>
      </c>
      <c r="B8" s="10" t="s">
        <v>52</v>
      </c>
      <c r="C8" s="10" t="s">
        <v>55</v>
      </c>
      <c r="D8" s="10" t="s">
        <v>57</v>
      </c>
      <c r="E8" s="10" t="s">
        <v>58</v>
      </c>
      <c r="F8" s="10" t="s">
        <v>56</v>
      </c>
      <c r="J8" s="8"/>
    </row>
    <row r="9" spans="1:10" x14ac:dyDescent="0.2">
      <c r="A9" s="10">
        <v>0</v>
      </c>
      <c r="B9" s="10">
        <v>0.2</v>
      </c>
      <c r="C9" s="11">
        <f>A9*B9</f>
        <v>0</v>
      </c>
      <c r="D9" s="11">
        <f>A9-$C$13</f>
        <v>-1.3</v>
      </c>
      <c r="E9" s="7">
        <f>(D9^2)</f>
        <v>1.6900000000000002</v>
      </c>
      <c r="F9" s="2">
        <f>E9*B9</f>
        <v>0.33800000000000008</v>
      </c>
    </row>
    <row r="10" spans="1:10" x14ac:dyDescent="0.2">
      <c r="A10" s="10">
        <v>1</v>
      </c>
      <c r="B10" s="10">
        <v>0.4</v>
      </c>
      <c r="C10" s="11">
        <f t="shared" ref="C10:C12" si="0">A10*B10</f>
        <v>0.4</v>
      </c>
      <c r="D10" s="11">
        <f t="shared" ref="D10:D12" si="1">A10-$C$13</f>
        <v>-0.30000000000000004</v>
      </c>
      <c r="E10" s="7">
        <f t="shared" ref="E10:E12" si="2">(D10^2)</f>
        <v>9.0000000000000024E-2</v>
      </c>
      <c r="F10" s="2">
        <f t="shared" ref="F10:F12" si="3">E10*B10</f>
        <v>3.6000000000000011E-2</v>
      </c>
    </row>
    <row r="11" spans="1:10" x14ac:dyDescent="0.2">
      <c r="A11" s="10">
        <v>2</v>
      </c>
      <c r="B11" s="10">
        <v>0.3</v>
      </c>
      <c r="C11" s="11">
        <f t="shared" si="0"/>
        <v>0.6</v>
      </c>
      <c r="D11" s="11">
        <f t="shared" si="1"/>
        <v>0.7</v>
      </c>
      <c r="E11" s="7">
        <f t="shared" si="2"/>
        <v>0.48999999999999994</v>
      </c>
      <c r="F11" s="2">
        <f t="shared" si="3"/>
        <v>0.14699999999999996</v>
      </c>
    </row>
    <row r="12" spans="1:10" x14ac:dyDescent="0.2">
      <c r="A12" s="10">
        <v>3</v>
      </c>
      <c r="B12" s="10">
        <v>0.1</v>
      </c>
      <c r="C12" s="11">
        <f t="shared" si="0"/>
        <v>0.30000000000000004</v>
      </c>
      <c r="D12" s="11">
        <f t="shared" si="1"/>
        <v>1.7</v>
      </c>
      <c r="E12" s="7">
        <f t="shared" si="2"/>
        <v>2.8899999999999997</v>
      </c>
      <c r="F12" s="2">
        <f t="shared" si="3"/>
        <v>0.28899999999999998</v>
      </c>
    </row>
    <row r="13" spans="1:10" x14ac:dyDescent="0.2">
      <c r="C13" s="11">
        <f>SUM(C9:C12)</f>
        <v>1.3</v>
      </c>
      <c r="D13" s="10"/>
      <c r="F13">
        <f>SUM(F9:F12)</f>
        <v>0.81</v>
      </c>
    </row>
    <row r="15" spans="1:10" x14ac:dyDescent="0.2">
      <c r="A15" s="17" t="s">
        <v>61</v>
      </c>
    </row>
    <row r="17" spans="1:19" x14ac:dyDescent="0.2">
      <c r="A17" s="17" t="s">
        <v>62</v>
      </c>
      <c r="B17" s="17" t="s">
        <v>63</v>
      </c>
    </row>
    <row r="18" spans="1:19" x14ac:dyDescent="0.2">
      <c r="A18" s="17">
        <v>0</v>
      </c>
      <c r="B18" s="17">
        <v>8</v>
      </c>
      <c r="C18">
        <f>A18*B18</f>
        <v>0</v>
      </c>
      <c r="Q18" s="19"/>
      <c r="S18" s="20"/>
    </row>
    <row r="19" spans="1:19" x14ac:dyDescent="0.2">
      <c r="A19" s="17">
        <v>1</v>
      </c>
      <c r="B19" s="17">
        <v>10</v>
      </c>
      <c r="C19">
        <f t="shared" ref="C19:C22" si="4">A19*B19</f>
        <v>10</v>
      </c>
      <c r="Q19" s="19"/>
      <c r="R19" s="25"/>
      <c r="S19" s="31"/>
    </row>
    <row r="20" spans="1:19" x14ac:dyDescent="0.2">
      <c r="A20" s="17">
        <v>2</v>
      </c>
      <c r="B20" s="17">
        <v>22</v>
      </c>
      <c r="C20">
        <f t="shared" si="4"/>
        <v>44</v>
      </c>
      <c r="Q20" s="19"/>
      <c r="R20" s="25"/>
      <c r="S20" s="31"/>
    </row>
    <row r="21" spans="1:19" x14ac:dyDescent="0.2">
      <c r="A21" s="17">
        <v>3</v>
      </c>
      <c r="B21" s="17">
        <v>9</v>
      </c>
      <c r="C21">
        <f t="shared" si="4"/>
        <v>27</v>
      </c>
      <c r="Q21" s="19"/>
      <c r="R21" s="25"/>
      <c r="S21" s="31"/>
    </row>
    <row r="22" spans="1:19" x14ac:dyDescent="0.2">
      <c r="A22" s="17">
        <v>4</v>
      </c>
      <c r="B22" s="17">
        <v>1</v>
      </c>
      <c r="C22">
        <f t="shared" si="4"/>
        <v>4</v>
      </c>
      <c r="Q22" s="19"/>
      <c r="R22" s="25"/>
      <c r="S22" s="31"/>
    </row>
    <row r="23" spans="1:19" x14ac:dyDescent="0.2">
      <c r="A23" s="17" t="s">
        <v>64</v>
      </c>
      <c r="B23" s="17">
        <v>50</v>
      </c>
      <c r="C23">
        <f>SUM(C18:C22)</f>
        <v>85</v>
      </c>
      <c r="D23">
        <f>C23/B23</f>
        <v>1.7</v>
      </c>
      <c r="Q23" s="19"/>
      <c r="R23" s="25"/>
      <c r="S23" s="31"/>
    </row>
    <row r="24" spans="1:19" x14ac:dyDescent="0.2">
      <c r="Q24" s="17"/>
      <c r="S24" s="31"/>
    </row>
    <row r="25" spans="1:19" x14ac:dyDescent="0.2">
      <c r="A25" s="20" t="s">
        <v>65</v>
      </c>
      <c r="R25" s="25"/>
      <c r="S25" s="31"/>
    </row>
    <row r="26" spans="1:19" x14ac:dyDescent="0.2">
      <c r="A26" s="16" t="s">
        <v>3</v>
      </c>
      <c r="B26" s="16" t="s">
        <v>63</v>
      </c>
      <c r="C26" s="16" t="s">
        <v>52</v>
      </c>
      <c r="D26" s="16" t="s">
        <v>55</v>
      </c>
      <c r="E26" s="16" t="s">
        <v>57</v>
      </c>
      <c r="F26" s="16" t="s">
        <v>58</v>
      </c>
      <c r="G26" s="16" t="s">
        <v>56</v>
      </c>
      <c r="Q26" s="19"/>
      <c r="R26" s="25"/>
      <c r="S26" s="31"/>
    </row>
    <row r="27" spans="1:19" x14ac:dyDescent="0.2">
      <c r="A27" s="10">
        <v>0</v>
      </c>
      <c r="B27" s="10">
        <v>8</v>
      </c>
      <c r="C27" s="10">
        <f>B27/$B$32</f>
        <v>0.16</v>
      </c>
      <c r="D27" s="11">
        <f>A27*C27</f>
        <v>0</v>
      </c>
      <c r="E27" s="11">
        <f>A27-$D$32</f>
        <v>-1.7000000000000002</v>
      </c>
      <c r="F27" s="11">
        <f>(E27^2)</f>
        <v>2.8900000000000006</v>
      </c>
      <c r="G27" s="15">
        <f>F27*C27</f>
        <v>0.46240000000000009</v>
      </c>
      <c r="I27" t="s">
        <v>53</v>
      </c>
      <c r="J27" s="2">
        <f>SUMPRODUCT(A27:A31,C27:C31)</f>
        <v>1.7000000000000002</v>
      </c>
      <c r="K27" t="s">
        <v>4</v>
      </c>
      <c r="Q27" s="19"/>
      <c r="R27" s="25"/>
    </row>
    <row r="28" spans="1:19" x14ac:dyDescent="0.2">
      <c r="A28" s="10">
        <v>1</v>
      </c>
      <c r="B28" s="10">
        <v>10</v>
      </c>
      <c r="C28" s="11">
        <f>B28/$B$32</f>
        <v>0.2</v>
      </c>
      <c r="D28" s="11">
        <f>A28*C28</f>
        <v>0.2</v>
      </c>
      <c r="E28" s="11">
        <f t="shared" ref="E28:E31" si="5">A28-$D$32</f>
        <v>-0.70000000000000018</v>
      </c>
      <c r="F28" s="11">
        <f t="shared" ref="F28:F31" si="6">(E28^2)</f>
        <v>0.49000000000000027</v>
      </c>
      <c r="G28" s="15">
        <f t="shared" ref="G28:G31" si="7">F28*C28</f>
        <v>9.8000000000000059E-2</v>
      </c>
      <c r="I28" t="s">
        <v>54</v>
      </c>
      <c r="J28" s="2">
        <f>G32</f>
        <v>1.01</v>
      </c>
      <c r="K28" t="s">
        <v>60</v>
      </c>
      <c r="R28" s="25"/>
      <c r="S28" s="20"/>
    </row>
    <row r="29" spans="1:19" x14ac:dyDescent="0.2">
      <c r="A29" s="10">
        <v>2</v>
      </c>
      <c r="B29" s="10">
        <v>22</v>
      </c>
      <c r="C29" s="10">
        <f>B29/$B$32</f>
        <v>0.44</v>
      </c>
      <c r="D29" s="11">
        <f>A29*C29</f>
        <v>0.88</v>
      </c>
      <c r="E29" s="11">
        <f t="shared" si="5"/>
        <v>0.29999999999999982</v>
      </c>
      <c r="F29" s="11">
        <f t="shared" si="6"/>
        <v>8.99999999999999E-2</v>
      </c>
      <c r="G29" s="15">
        <f t="shared" si="7"/>
        <v>3.9599999999999955E-2</v>
      </c>
      <c r="I29" t="s">
        <v>59</v>
      </c>
      <c r="J29" s="2">
        <f>SQRT(J28)</f>
        <v>1.004987562112089</v>
      </c>
      <c r="K29" t="s">
        <v>5</v>
      </c>
      <c r="R29" s="25"/>
      <c r="S29" s="31"/>
    </row>
    <row r="30" spans="1:19" x14ac:dyDescent="0.2">
      <c r="A30" s="10">
        <v>3</v>
      </c>
      <c r="B30" s="10">
        <v>9</v>
      </c>
      <c r="C30" s="10">
        <f>B30/$B$32</f>
        <v>0.18</v>
      </c>
      <c r="D30" s="11">
        <f>A30*C30</f>
        <v>0.54</v>
      </c>
      <c r="E30" s="11">
        <f t="shared" si="5"/>
        <v>1.2999999999999998</v>
      </c>
      <c r="F30" s="11">
        <f t="shared" si="6"/>
        <v>1.6899999999999995</v>
      </c>
      <c r="G30" s="15">
        <f t="shared" si="7"/>
        <v>0.30419999999999991</v>
      </c>
      <c r="R30" s="25"/>
      <c r="S30" s="31"/>
    </row>
    <row r="31" spans="1:19" x14ac:dyDescent="0.2">
      <c r="A31" s="10">
        <v>4</v>
      </c>
      <c r="B31" s="10">
        <v>1</v>
      </c>
      <c r="C31" s="10">
        <f>B31/$B$32</f>
        <v>0.02</v>
      </c>
      <c r="D31" s="11">
        <f>A31*C31</f>
        <v>0.08</v>
      </c>
      <c r="E31" s="11">
        <f t="shared" si="5"/>
        <v>2.2999999999999998</v>
      </c>
      <c r="F31" s="11">
        <f t="shared" si="6"/>
        <v>5.2899999999999991</v>
      </c>
      <c r="G31" s="15">
        <f t="shared" si="7"/>
        <v>0.10579999999999999</v>
      </c>
    </row>
    <row r="32" spans="1:19" x14ac:dyDescent="0.2">
      <c r="A32" s="16" t="s">
        <v>64</v>
      </c>
      <c r="B32" s="16">
        <v>50</v>
      </c>
      <c r="C32" s="18">
        <f>SUM(C27:C31)</f>
        <v>1</v>
      </c>
      <c r="D32" s="18">
        <f>SUM(D27:D31)</f>
        <v>1.7000000000000002</v>
      </c>
      <c r="E32" s="18">
        <f>SUM(E27:E31)</f>
        <v>1.4999999999999991</v>
      </c>
      <c r="F32" s="18">
        <f>SUM(F27:F31)</f>
        <v>10.45</v>
      </c>
      <c r="G32" s="18">
        <f>SUM(G27:G31)</f>
        <v>1.01</v>
      </c>
      <c r="R32" s="25"/>
      <c r="S32" s="12"/>
    </row>
    <row r="33" spans="1:19" x14ac:dyDescent="0.2">
      <c r="R33" s="35"/>
      <c r="S33" s="22"/>
    </row>
    <row r="34" spans="1:19" x14ac:dyDescent="0.2">
      <c r="A34" s="20" t="s">
        <v>66</v>
      </c>
    </row>
    <row r="35" spans="1:19" x14ac:dyDescent="0.2">
      <c r="A35" t="s">
        <v>70</v>
      </c>
    </row>
    <row r="37" spans="1:19" x14ac:dyDescent="0.2">
      <c r="A37" s="20" t="s">
        <v>67</v>
      </c>
      <c r="H37" s="20" t="s">
        <v>68</v>
      </c>
    </row>
    <row r="38" spans="1:19" x14ac:dyDescent="0.2">
      <c r="B38" s="10" t="s">
        <v>3</v>
      </c>
      <c r="C38" s="10" t="s">
        <v>52</v>
      </c>
      <c r="I38" s="21">
        <f>D32</f>
        <v>1.7000000000000002</v>
      </c>
    </row>
    <row r="39" spans="1:19" x14ac:dyDescent="0.2">
      <c r="B39" s="10">
        <f>A30</f>
        <v>3</v>
      </c>
      <c r="C39" s="11">
        <f>C30</f>
        <v>0.18</v>
      </c>
    </row>
    <row r="40" spans="1:19" x14ac:dyDescent="0.2">
      <c r="B40" s="10">
        <f>A31</f>
        <v>4</v>
      </c>
      <c r="C40" s="11">
        <f>C31</f>
        <v>0.02</v>
      </c>
      <c r="H40" s="20" t="s">
        <v>69</v>
      </c>
    </row>
    <row r="41" spans="1:19" x14ac:dyDescent="0.2">
      <c r="B41" s="10"/>
      <c r="C41" s="18">
        <f>SUM(C39:C40)</f>
        <v>0.19999999999999998</v>
      </c>
      <c r="I41" s="23">
        <f>SQRT(G32)</f>
        <v>1.004987562112089</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8D3BE-2892-4AD6-B097-02BD5CDF1900}">
  <dimension ref="A1:AT41"/>
  <sheetViews>
    <sheetView workbookViewId="0">
      <selection sqref="A1:G7"/>
    </sheetView>
  </sheetViews>
  <sheetFormatPr defaultColWidth="2.28515625" defaultRowHeight="12" x14ac:dyDescent="0.2"/>
  <cols>
    <col min="17" max="17" width="2.28515625" customWidth="1"/>
  </cols>
  <sheetData>
    <row r="1" spans="1:26" x14ac:dyDescent="0.2">
      <c r="A1" s="68" t="s">
        <v>165</v>
      </c>
      <c r="B1" s="69"/>
      <c r="C1" s="69"/>
      <c r="D1" s="69"/>
      <c r="E1" s="69"/>
      <c r="F1" s="69"/>
      <c r="G1" s="70"/>
    </row>
    <row r="2" spans="1:26" x14ac:dyDescent="0.2">
      <c r="A2" s="71"/>
      <c r="B2" s="58"/>
      <c r="C2" s="58"/>
      <c r="D2" s="58"/>
      <c r="E2" s="58"/>
      <c r="F2" s="58"/>
      <c r="G2" s="72"/>
    </row>
    <row r="3" spans="1:26" x14ac:dyDescent="0.2">
      <c r="A3" s="71"/>
      <c r="B3" s="58"/>
      <c r="C3" s="58"/>
      <c r="D3" s="58"/>
      <c r="E3" s="58"/>
      <c r="F3" s="58"/>
      <c r="G3" s="72"/>
    </row>
    <row r="4" spans="1:26" x14ac:dyDescent="0.2">
      <c r="A4" s="71"/>
      <c r="B4" s="58"/>
      <c r="C4" s="58"/>
      <c r="D4" s="58"/>
      <c r="E4" s="58"/>
      <c r="F4" s="58"/>
      <c r="G4" s="72"/>
    </row>
    <row r="5" spans="1:26" x14ac:dyDescent="0.2">
      <c r="A5" s="71"/>
      <c r="B5" s="58"/>
      <c r="C5" s="58"/>
      <c r="D5" s="58"/>
      <c r="E5" s="58"/>
      <c r="F5" s="58"/>
      <c r="G5" s="72"/>
    </row>
    <row r="6" spans="1:26" x14ac:dyDescent="0.2">
      <c r="A6" s="71"/>
      <c r="B6" s="58"/>
      <c r="C6" s="58"/>
      <c r="D6" s="58"/>
      <c r="E6" s="58"/>
      <c r="F6" s="58"/>
      <c r="G6" s="72"/>
    </row>
    <row r="7" spans="1:26" x14ac:dyDescent="0.2">
      <c r="A7" s="73"/>
      <c r="B7" s="74"/>
      <c r="C7" s="74"/>
      <c r="D7" s="74"/>
      <c r="E7" s="74"/>
      <c r="F7" s="74"/>
      <c r="G7" s="75"/>
    </row>
    <row r="8" spans="1:26" x14ac:dyDescent="0.2">
      <c r="A8" s="68" t="s">
        <v>169</v>
      </c>
      <c r="B8" s="69"/>
      <c r="C8" s="69"/>
      <c r="D8" s="69"/>
      <c r="E8" s="69"/>
      <c r="F8" s="69"/>
      <c r="G8" s="70"/>
    </row>
    <row r="9" spans="1:26" ht="12" customHeight="1" x14ac:dyDescent="0.2">
      <c r="A9" s="71"/>
      <c r="B9" s="58"/>
      <c r="C9" s="58"/>
      <c r="D9" s="58"/>
      <c r="E9" s="58"/>
      <c r="F9" s="58"/>
      <c r="G9" s="72"/>
      <c r="I9" s="45" t="s">
        <v>167</v>
      </c>
    </row>
    <row r="10" spans="1:26" x14ac:dyDescent="0.2">
      <c r="A10" s="71"/>
      <c r="B10" s="58"/>
      <c r="C10" s="58"/>
      <c r="D10" s="58"/>
      <c r="E10" s="58"/>
      <c r="F10" s="58"/>
      <c r="G10" s="72"/>
      <c r="J10" s="13" t="s">
        <v>192</v>
      </c>
      <c r="K10" s="13"/>
      <c r="L10" s="13"/>
      <c r="M10" s="13"/>
      <c r="N10" s="13"/>
      <c r="O10" s="13"/>
      <c r="P10" s="13"/>
      <c r="Q10" s="13"/>
      <c r="R10" s="13"/>
    </row>
    <row r="11" spans="1:26" ht="12" customHeight="1" x14ac:dyDescent="0.2">
      <c r="A11" s="71"/>
      <c r="B11" s="58"/>
      <c r="C11" s="58"/>
      <c r="D11" s="58"/>
      <c r="E11" s="58"/>
      <c r="F11" s="58"/>
      <c r="G11" s="72"/>
    </row>
    <row r="12" spans="1:26" x14ac:dyDescent="0.2">
      <c r="A12" s="71"/>
      <c r="B12" s="58"/>
      <c r="C12" s="58"/>
      <c r="D12" s="58"/>
      <c r="E12" s="58"/>
      <c r="F12" s="58"/>
      <c r="G12" s="72"/>
      <c r="I12" s="45" t="s">
        <v>168</v>
      </c>
    </row>
    <row r="13" spans="1:26" ht="12" customHeight="1" x14ac:dyDescent="0.2">
      <c r="A13" s="71"/>
      <c r="B13" s="58"/>
      <c r="C13" s="58"/>
      <c r="D13" s="58"/>
      <c r="E13" s="58"/>
      <c r="F13" s="58"/>
      <c r="G13" s="72"/>
      <c r="J13" s="13" t="s">
        <v>193</v>
      </c>
      <c r="R13" s="13"/>
      <c r="S13" s="13"/>
      <c r="T13" s="13"/>
      <c r="U13" s="13"/>
      <c r="V13" s="13"/>
      <c r="W13" s="13"/>
      <c r="X13" s="13"/>
      <c r="Y13" s="13"/>
      <c r="Z13" s="13"/>
    </row>
    <row r="14" spans="1:26" x14ac:dyDescent="0.2">
      <c r="A14" s="73"/>
      <c r="B14" s="74"/>
      <c r="C14" s="74"/>
      <c r="D14" s="74"/>
      <c r="E14" s="74"/>
      <c r="F14" s="74"/>
      <c r="G14" s="75"/>
    </row>
    <row r="15" spans="1:26" ht="12" customHeight="1" x14ac:dyDescent="0.2">
      <c r="A15" s="68" t="str">
        <f>"Can "&amp;_randVar&amp;" assume more than non-negative integer values?"</f>
        <v>Can americans preference for pennies assume more than non-negative integer values?</v>
      </c>
      <c r="B15" s="69"/>
      <c r="C15" s="69"/>
      <c r="D15" s="69"/>
      <c r="E15" s="69"/>
      <c r="F15" s="69"/>
      <c r="G15" s="70"/>
      <c r="I15" s="59" t="s">
        <v>162</v>
      </c>
      <c r="J15" s="60"/>
      <c r="K15" s="60"/>
      <c r="L15" s="60"/>
      <c r="M15" s="60"/>
      <c r="N15" s="60"/>
      <c r="O15" s="61"/>
    </row>
    <row r="16" spans="1:26" ht="12" customHeight="1" x14ac:dyDescent="0.2">
      <c r="A16" s="71"/>
      <c r="B16" s="58"/>
      <c r="C16" s="58"/>
      <c r="D16" s="58"/>
      <c r="E16" s="58"/>
      <c r="F16" s="58"/>
      <c r="G16" s="72"/>
      <c r="I16" s="62"/>
      <c r="J16" s="63"/>
      <c r="K16" s="63"/>
      <c r="L16" s="63"/>
      <c r="M16" s="63"/>
      <c r="N16" s="63"/>
      <c r="O16" s="64"/>
    </row>
    <row r="17" spans="1:46" x14ac:dyDescent="0.2">
      <c r="A17" s="71"/>
      <c r="B17" s="58"/>
      <c r="C17" s="58"/>
      <c r="D17" s="58"/>
      <c r="E17" s="58"/>
      <c r="F17" s="58"/>
      <c r="G17" s="72"/>
      <c r="I17" s="62"/>
      <c r="J17" s="63"/>
      <c r="K17" s="63"/>
      <c r="L17" s="63"/>
      <c r="M17" s="63"/>
      <c r="N17" s="63"/>
      <c r="O17" s="64"/>
    </row>
    <row r="18" spans="1:46" x14ac:dyDescent="0.2">
      <c r="A18" s="71"/>
      <c r="B18" s="58"/>
      <c r="C18" s="58"/>
      <c r="D18" s="58"/>
      <c r="E18" s="58"/>
      <c r="F18" s="58"/>
      <c r="G18" s="72"/>
      <c r="H18" t="s">
        <v>121</v>
      </c>
      <c r="I18" s="62"/>
      <c r="J18" s="63"/>
      <c r="K18" s="63"/>
      <c r="L18" s="63"/>
      <c r="M18" s="63"/>
      <c r="N18" s="63"/>
      <c r="O18" s="64"/>
    </row>
    <row r="19" spans="1:46" x14ac:dyDescent="0.2">
      <c r="A19" s="71"/>
      <c r="B19" s="58"/>
      <c r="C19" s="58"/>
      <c r="D19" s="58"/>
      <c r="E19" s="58"/>
      <c r="F19" s="58"/>
      <c r="G19" s="72"/>
      <c r="I19" s="62"/>
      <c r="J19" s="63"/>
      <c r="K19" s="63"/>
      <c r="L19" s="63"/>
      <c r="M19" s="63"/>
      <c r="N19" s="63"/>
      <c r="O19" s="64"/>
    </row>
    <row r="20" spans="1:46" ht="12" customHeight="1" x14ac:dyDescent="0.2">
      <c r="A20" s="71"/>
      <c r="B20" s="58"/>
      <c r="C20" s="58"/>
      <c r="D20" s="58"/>
      <c r="E20" s="58"/>
      <c r="F20" s="58"/>
      <c r="G20" s="72"/>
      <c r="I20" s="62"/>
      <c r="J20" s="63"/>
      <c r="K20" s="63"/>
      <c r="L20" s="63"/>
      <c r="M20" s="63"/>
      <c r="N20" s="63"/>
      <c r="O20" s="64"/>
    </row>
    <row r="21" spans="1:46" ht="12" customHeight="1" x14ac:dyDescent="0.2">
      <c r="A21" s="73"/>
      <c r="B21" s="74"/>
      <c r="C21" s="74"/>
      <c r="D21" s="74"/>
      <c r="E21" s="74"/>
      <c r="F21" s="74"/>
      <c r="G21" s="75"/>
      <c r="I21" s="65"/>
      <c r="J21" s="66"/>
      <c r="K21" s="66"/>
      <c r="L21" s="66"/>
      <c r="M21" s="66"/>
      <c r="N21" s="66"/>
      <c r="O21" s="67"/>
    </row>
    <row r="22" spans="1:46" x14ac:dyDescent="0.2">
      <c r="D22" t="s">
        <v>164</v>
      </c>
      <c r="I22" s="68" t="str">
        <f>"Does the outcome of one "&amp;_randVar&amp;" affect the outcome of any other "&amp;_randVar&amp;"?"</f>
        <v>Does the outcome of one americans preference for pennies affect the outcome of any other americans preference for pennies?</v>
      </c>
      <c r="J22" s="69"/>
      <c r="K22" s="69"/>
      <c r="L22" s="69"/>
      <c r="M22" s="69"/>
      <c r="N22" s="69"/>
      <c r="O22" s="70"/>
      <c r="Q22" s="68" t="s">
        <v>166</v>
      </c>
      <c r="R22" s="69"/>
      <c r="S22" s="69"/>
      <c r="T22" s="69"/>
      <c r="U22" s="69"/>
      <c r="V22" s="69"/>
      <c r="W22" s="70"/>
      <c r="Y22" s="76" t="s">
        <v>136</v>
      </c>
      <c r="Z22" s="77"/>
      <c r="AA22" s="77"/>
      <c r="AB22" s="77"/>
      <c r="AC22" s="77"/>
      <c r="AD22" s="77"/>
      <c r="AE22" s="78"/>
      <c r="AS22" s="20"/>
      <c r="AT22" s="20"/>
    </row>
    <row r="23" spans="1:46" x14ac:dyDescent="0.2">
      <c r="A23" s="59" t="s">
        <v>163</v>
      </c>
      <c r="B23" s="60"/>
      <c r="C23" s="60"/>
      <c r="D23" s="60"/>
      <c r="E23" s="60"/>
      <c r="F23" s="60"/>
      <c r="G23" s="61"/>
      <c r="I23" s="71"/>
      <c r="J23" s="58"/>
      <c r="K23" s="58"/>
      <c r="L23" s="58"/>
      <c r="M23" s="58"/>
      <c r="N23" s="58"/>
      <c r="O23" s="72"/>
      <c r="Q23" s="71"/>
      <c r="R23" s="58"/>
      <c r="S23" s="58"/>
      <c r="T23" s="58"/>
      <c r="U23" s="58"/>
      <c r="V23" s="58"/>
      <c r="W23" s="72"/>
      <c r="Y23" s="79"/>
      <c r="Z23" s="80"/>
      <c r="AA23" s="80"/>
      <c r="AB23" s="80"/>
      <c r="AC23" s="80"/>
      <c r="AD23" s="80"/>
      <c r="AE23" s="81"/>
      <c r="AT23" s="20"/>
    </row>
    <row r="24" spans="1:46" x14ac:dyDescent="0.2">
      <c r="A24" s="62"/>
      <c r="B24" s="63"/>
      <c r="C24" s="63"/>
      <c r="D24" s="63"/>
      <c r="E24" s="63"/>
      <c r="F24" s="63"/>
      <c r="G24" s="64"/>
      <c r="I24" s="71"/>
      <c r="J24" s="58"/>
      <c r="K24" s="58"/>
      <c r="L24" s="58"/>
      <c r="M24" s="58"/>
      <c r="N24" s="58"/>
      <c r="O24" s="72"/>
      <c r="Q24" s="71"/>
      <c r="R24" s="58"/>
      <c r="S24" s="58"/>
      <c r="T24" s="58"/>
      <c r="U24" s="58"/>
      <c r="V24" s="58"/>
      <c r="W24" s="72"/>
      <c r="Y24" s="79"/>
      <c r="Z24" s="80"/>
      <c r="AA24" s="80"/>
      <c r="AB24" s="80"/>
      <c r="AC24" s="80"/>
      <c r="AD24" s="80"/>
      <c r="AE24" s="81"/>
      <c r="AS24" s="20"/>
      <c r="AT24" s="20"/>
    </row>
    <row r="25" spans="1:46" x14ac:dyDescent="0.2">
      <c r="A25" s="62"/>
      <c r="B25" s="63"/>
      <c r="C25" s="63"/>
      <c r="D25" s="63"/>
      <c r="E25" s="63"/>
      <c r="F25" s="63"/>
      <c r="G25" s="64"/>
      <c r="I25" s="71"/>
      <c r="J25" s="58"/>
      <c r="K25" s="58"/>
      <c r="L25" s="58"/>
      <c r="M25" s="58"/>
      <c r="N25" s="58"/>
      <c r="O25" s="72"/>
      <c r="P25" t="s">
        <v>121</v>
      </c>
      <c r="Q25" s="71"/>
      <c r="R25" s="58"/>
      <c r="S25" s="58"/>
      <c r="T25" s="58"/>
      <c r="U25" s="58"/>
      <c r="V25" s="58"/>
      <c r="W25" s="72"/>
      <c r="X25" t="s">
        <v>121</v>
      </c>
      <c r="Y25" s="79"/>
      <c r="Z25" s="80"/>
      <c r="AA25" s="80"/>
      <c r="AB25" s="80"/>
      <c r="AC25" s="80"/>
      <c r="AD25" s="80"/>
      <c r="AE25" s="81"/>
      <c r="AS25" s="20"/>
      <c r="AT25" s="20"/>
    </row>
    <row r="26" spans="1:46" ht="12" customHeight="1" x14ac:dyDescent="0.2">
      <c r="A26" s="62"/>
      <c r="B26" s="63"/>
      <c r="C26" s="63"/>
      <c r="D26" s="63"/>
      <c r="E26" s="63"/>
      <c r="F26" s="63"/>
      <c r="G26" s="64"/>
      <c r="I26" s="71"/>
      <c r="J26" s="58"/>
      <c r="K26" s="58"/>
      <c r="L26" s="58"/>
      <c r="M26" s="58"/>
      <c r="N26" s="58"/>
      <c r="O26" s="72"/>
      <c r="Q26" s="71"/>
      <c r="R26" s="58"/>
      <c r="S26" s="58"/>
      <c r="T26" s="58"/>
      <c r="U26" s="58"/>
      <c r="V26" s="58"/>
      <c r="W26" s="72"/>
      <c r="Y26" s="79"/>
      <c r="Z26" s="80"/>
      <c r="AA26" s="80"/>
      <c r="AB26" s="80"/>
      <c r="AC26" s="80"/>
      <c r="AD26" s="80"/>
      <c r="AE26" s="81"/>
      <c r="AS26" s="20"/>
      <c r="AT26" s="20"/>
    </row>
    <row r="27" spans="1:46" ht="12" customHeight="1" x14ac:dyDescent="0.2">
      <c r="A27" s="62"/>
      <c r="B27" s="63"/>
      <c r="C27" s="63"/>
      <c r="D27" s="63"/>
      <c r="E27" s="63"/>
      <c r="F27" s="63"/>
      <c r="G27" s="64"/>
      <c r="I27" s="71"/>
      <c r="J27" s="58"/>
      <c r="K27" s="58"/>
      <c r="L27" s="58"/>
      <c r="M27" s="58"/>
      <c r="N27" s="58"/>
      <c r="O27" s="72"/>
      <c r="Q27" s="71"/>
      <c r="R27" s="58"/>
      <c r="S27" s="58"/>
      <c r="T27" s="58"/>
      <c r="U27" s="58"/>
      <c r="V27" s="58"/>
      <c r="W27" s="72"/>
      <c r="Y27" s="79"/>
      <c r="Z27" s="80"/>
      <c r="AA27" s="80"/>
      <c r="AB27" s="80"/>
      <c r="AC27" s="80"/>
      <c r="AD27" s="80"/>
      <c r="AE27" s="81"/>
    </row>
    <row r="28" spans="1:46" ht="12" customHeight="1" x14ac:dyDescent="0.2">
      <c r="A28" s="62"/>
      <c r="B28" s="63"/>
      <c r="C28" s="63"/>
      <c r="D28" s="63"/>
      <c r="E28" s="63"/>
      <c r="F28" s="63"/>
      <c r="G28" s="64"/>
      <c r="I28" s="73"/>
      <c r="J28" s="74"/>
      <c r="K28" s="74"/>
      <c r="L28" s="74"/>
      <c r="M28" s="74"/>
      <c r="N28" s="74"/>
      <c r="O28" s="75"/>
      <c r="Q28" s="73"/>
      <c r="R28" s="74"/>
      <c r="S28" s="74"/>
      <c r="T28" s="74"/>
      <c r="U28" s="74"/>
      <c r="V28" s="74"/>
      <c r="W28" s="75"/>
      <c r="Y28" s="82"/>
      <c r="Z28" s="83"/>
      <c r="AA28" s="83"/>
      <c r="AB28" s="83"/>
      <c r="AC28" s="83"/>
      <c r="AD28" s="83"/>
      <c r="AE28" s="84"/>
    </row>
    <row r="29" spans="1:46" x14ac:dyDescent="0.2">
      <c r="A29" s="65"/>
      <c r="B29" s="66"/>
      <c r="C29" s="66"/>
      <c r="D29" s="66"/>
      <c r="E29" s="66"/>
      <c r="F29" s="66"/>
      <c r="G29" s="67"/>
      <c r="L29" t="s">
        <v>164</v>
      </c>
      <c r="Q29" s="20" t="str">
        <f>"the chance that "&amp;_randVar&amp;" = "&amp;_success&amp;" is relatively large. (loosly greater than 2.5%)"</f>
        <v>the chance that americans preference for pennies = pennies should not be eliminated is relatively large. (loosly greater than 2.5%)</v>
      </c>
    </row>
    <row r="30" spans="1:46" x14ac:dyDescent="0.2">
      <c r="A30" s="46"/>
      <c r="B30" s="46"/>
      <c r="C30" s="46"/>
      <c r="D30" s="46"/>
      <c r="E30" s="46"/>
      <c r="F30" s="46"/>
      <c r="G30" s="46"/>
      <c r="I30" s="76" t="s">
        <v>117</v>
      </c>
      <c r="J30" s="77"/>
      <c r="K30" s="77"/>
      <c r="L30" s="77"/>
      <c r="M30" s="77"/>
      <c r="N30" s="77"/>
      <c r="O30" s="78"/>
      <c r="Q30" s="20" t="str">
        <f>"the problem does not involve the ‘rate’ of "&amp;_randVar&amp;" = "&amp;_success&amp;" within a fixed interval of time, distance, area, or volume."</f>
        <v>the problem does not involve the ‘rate’ of americans preference for pennies = pennies should not be eliminated within a fixed interval of time, distance, area, or volume.</v>
      </c>
    </row>
    <row r="31" spans="1:46" x14ac:dyDescent="0.2">
      <c r="A31" s="46"/>
      <c r="B31" s="46"/>
      <c r="C31" s="46"/>
      <c r="D31" s="46"/>
      <c r="E31" s="46"/>
      <c r="F31" s="46"/>
      <c r="G31" s="46"/>
      <c r="I31" s="79"/>
      <c r="J31" s="80"/>
      <c r="K31" s="80"/>
      <c r="L31" s="80"/>
      <c r="M31" s="80"/>
      <c r="N31" s="80"/>
      <c r="O31" s="81"/>
      <c r="Q31" s="20" t="str">
        <f>"whether "&amp;_randVar&amp;" = "&amp;_success&amp;" is either true or false. True and false at the same time is not possible."</f>
        <v>whether americans preference for pennies = pennies should not be eliminated is either true or false. True and false at the same time is not possible.</v>
      </c>
    </row>
    <row r="32" spans="1:46" x14ac:dyDescent="0.2">
      <c r="A32" s="46"/>
      <c r="B32" s="46"/>
      <c r="C32" s="46"/>
      <c r="D32" s="46"/>
      <c r="E32" s="46"/>
      <c r="F32" s="46"/>
      <c r="G32" s="46"/>
      <c r="I32" s="79"/>
      <c r="J32" s="80"/>
      <c r="K32" s="80"/>
      <c r="L32" s="80"/>
      <c r="M32" s="80"/>
      <c r="N32" s="80"/>
      <c r="O32" s="81"/>
      <c r="Q32" s="20" t="str">
        <f>_randVar&amp;" = "&amp;_success&amp;"(x) is a fixed number occurances in a known number of total "&amp;_randVar&amp;" observations (n)."</f>
        <v>americans preference for pennies = pennies should not be eliminated(x) is a fixed number occurances in a known number of total americans preference for pennies observations (n).</v>
      </c>
    </row>
    <row r="33" spans="1:39" x14ac:dyDescent="0.2">
      <c r="A33" s="46"/>
      <c r="B33" s="46"/>
      <c r="C33" s="46"/>
      <c r="D33" s="46"/>
      <c r="E33" s="46"/>
      <c r="F33" s="46"/>
      <c r="G33" s="46"/>
      <c r="I33" s="79"/>
      <c r="J33" s="80"/>
      <c r="K33" s="80"/>
      <c r="L33" s="80"/>
      <c r="M33" s="80"/>
      <c r="N33" s="80"/>
      <c r="O33" s="81"/>
      <c r="Q33" s="20" t="str">
        <f>"we know the probability of a "&amp;_randVar&amp;" = "&amp;_success&amp;" (pi) and it is the same for each "&amp;_randVar&amp;" observation (n)."</f>
        <v>we know the probability of a americans preference for pennies = pennies should not be eliminated (pi) and it is the same for each americans preference for pennies observation (n).</v>
      </c>
      <c r="R33" s="20"/>
    </row>
    <row r="34" spans="1:39" x14ac:dyDescent="0.2">
      <c r="A34" s="46"/>
      <c r="B34" s="46"/>
      <c r="C34" s="46"/>
      <c r="D34" s="46"/>
      <c r="E34" s="46"/>
      <c r="F34" s="46"/>
      <c r="G34" s="46"/>
      <c r="I34" s="79"/>
      <c r="J34" s="80"/>
      <c r="K34" s="80"/>
      <c r="L34" s="80"/>
      <c r="M34" s="80"/>
      <c r="N34" s="80"/>
      <c r="O34" s="81"/>
      <c r="T34" t="s">
        <v>164</v>
      </c>
    </row>
    <row r="35" spans="1:39" ht="12" customHeight="1" x14ac:dyDescent="0.2">
      <c r="A35" s="46"/>
      <c r="B35" s="46"/>
      <c r="C35" s="46"/>
      <c r="D35" s="46"/>
      <c r="E35" s="46"/>
      <c r="F35" s="46"/>
      <c r="G35" s="46"/>
      <c r="I35" s="79"/>
      <c r="J35" s="80"/>
      <c r="K35" s="80"/>
      <c r="L35" s="80"/>
      <c r="M35" s="80"/>
      <c r="N35" s="80"/>
      <c r="O35" s="81"/>
      <c r="Q35" s="76" t="s">
        <v>82</v>
      </c>
      <c r="R35" s="77"/>
      <c r="S35" s="77"/>
      <c r="T35" s="77"/>
      <c r="U35" s="77"/>
      <c r="V35" s="77"/>
      <c r="W35" s="78"/>
      <c r="Y35" s="58" t="s">
        <v>171</v>
      </c>
      <c r="Z35" s="58"/>
      <c r="AA35" s="58"/>
      <c r="AB35" s="58"/>
      <c r="AC35" s="58"/>
      <c r="AD35" s="58"/>
      <c r="AE35" s="58"/>
      <c r="AF35" s="58"/>
      <c r="AG35" s="58"/>
      <c r="AH35" s="58"/>
      <c r="AI35" s="58"/>
      <c r="AJ35" s="58"/>
      <c r="AK35" s="58"/>
      <c r="AL35" s="58"/>
      <c r="AM35" s="58"/>
    </row>
    <row r="36" spans="1:39" x14ac:dyDescent="0.2">
      <c r="A36" s="46"/>
      <c r="B36" s="46"/>
      <c r="C36" s="46"/>
      <c r="D36" s="46"/>
      <c r="E36" s="46"/>
      <c r="F36" s="46"/>
      <c r="G36" s="46"/>
      <c r="I36" s="82"/>
      <c r="J36" s="83"/>
      <c r="K36" s="83"/>
      <c r="L36" s="83"/>
      <c r="M36" s="83"/>
      <c r="N36" s="83"/>
      <c r="O36" s="84"/>
      <c r="Q36" s="79"/>
      <c r="R36" s="80"/>
      <c r="S36" s="80"/>
      <c r="T36" s="80"/>
      <c r="U36" s="80"/>
      <c r="V36" s="80"/>
      <c r="W36" s="81"/>
      <c r="Y36" s="58"/>
      <c r="Z36" s="58"/>
      <c r="AA36" s="58"/>
      <c r="AB36" s="58"/>
      <c r="AC36" s="58"/>
      <c r="AD36" s="58"/>
      <c r="AE36" s="58"/>
      <c r="AF36" s="58"/>
      <c r="AG36" s="58"/>
      <c r="AH36" s="58"/>
      <c r="AI36" s="58"/>
      <c r="AJ36" s="58"/>
      <c r="AK36" s="58"/>
      <c r="AL36" s="58"/>
      <c r="AM36" s="58"/>
    </row>
    <row r="37" spans="1:39" x14ac:dyDescent="0.2">
      <c r="Q37" s="79"/>
      <c r="R37" s="80"/>
      <c r="S37" s="80"/>
      <c r="T37" s="80"/>
      <c r="U37" s="80"/>
      <c r="V37" s="80"/>
      <c r="W37" s="81"/>
      <c r="Y37" s="58"/>
      <c r="Z37" s="58"/>
      <c r="AA37" s="58"/>
      <c r="AB37" s="58"/>
      <c r="AC37" s="58"/>
      <c r="AD37" s="58"/>
      <c r="AE37" s="58"/>
      <c r="AF37" s="58"/>
      <c r="AG37" s="58"/>
      <c r="AH37" s="58"/>
      <c r="AI37" s="58"/>
      <c r="AJ37" s="58"/>
      <c r="AK37" s="58"/>
      <c r="AL37" s="58"/>
      <c r="AM37" s="58"/>
    </row>
    <row r="38" spans="1:39" x14ac:dyDescent="0.2">
      <c r="Q38" s="79"/>
      <c r="R38" s="80"/>
      <c r="S38" s="80"/>
      <c r="T38" s="80"/>
      <c r="U38" s="80"/>
      <c r="V38" s="80"/>
      <c r="W38" s="81"/>
      <c r="Y38" s="58"/>
      <c r="Z38" s="58"/>
      <c r="AA38" s="58"/>
      <c r="AB38" s="58"/>
      <c r="AC38" s="58"/>
      <c r="AD38" s="58"/>
      <c r="AE38" s="58"/>
      <c r="AF38" s="58"/>
      <c r="AG38" s="58"/>
      <c r="AH38" s="58"/>
      <c r="AI38" s="58"/>
      <c r="AJ38" s="58"/>
      <c r="AK38" s="58"/>
      <c r="AL38" s="58"/>
      <c r="AM38" s="58"/>
    </row>
    <row r="39" spans="1:39" x14ac:dyDescent="0.2">
      <c r="Q39" s="79"/>
      <c r="R39" s="80"/>
      <c r="S39" s="80"/>
      <c r="T39" s="80"/>
      <c r="U39" s="80"/>
      <c r="V39" s="80"/>
      <c r="W39" s="81"/>
      <c r="Y39" s="58"/>
      <c r="Z39" s="58"/>
      <c r="AA39" s="58"/>
      <c r="AB39" s="58"/>
      <c r="AC39" s="58"/>
      <c r="AD39" s="58"/>
      <c r="AE39" s="58"/>
      <c r="AF39" s="58"/>
      <c r="AG39" s="58"/>
      <c r="AH39" s="58"/>
      <c r="AI39" s="58"/>
      <c r="AJ39" s="58"/>
      <c r="AK39" s="58"/>
      <c r="AL39" s="58"/>
      <c r="AM39" s="58"/>
    </row>
    <row r="40" spans="1:39" x14ac:dyDescent="0.2">
      <c r="Q40" s="79"/>
      <c r="R40" s="80"/>
      <c r="S40" s="80"/>
      <c r="T40" s="80"/>
      <c r="U40" s="80"/>
      <c r="V40" s="80"/>
      <c r="W40" s="81"/>
      <c r="Y40" s="58"/>
      <c r="Z40" s="58"/>
      <c r="AA40" s="58"/>
      <c r="AB40" s="58"/>
      <c r="AC40" s="58"/>
      <c r="AD40" s="58"/>
      <c r="AE40" s="58"/>
      <c r="AF40" s="58"/>
      <c r="AG40" s="58"/>
      <c r="AH40" s="58"/>
      <c r="AI40" s="58"/>
      <c r="AJ40" s="58"/>
      <c r="AK40" s="58"/>
      <c r="AL40" s="58"/>
      <c r="AM40" s="58"/>
    </row>
    <row r="41" spans="1:39" x14ac:dyDescent="0.2">
      <c r="Q41" s="82"/>
      <c r="R41" s="83"/>
      <c r="S41" s="83"/>
      <c r="T41" s="83"/>
      <c r="U41" s="83"/>
      <c r="V41" s="83"/>
      <c r="W41" s="84"/>
      <c r="Y41" s="58"/>
      <c r="Z41" s="58"/>
      <c r="AA41" s="58"/>
      <c r="AB41" s="58"/>
      <c r="AC41" s="58"/>
      <c r="AD41" s="58"/>
      <c r="AE41" s="58"/>
      <c r="AF41" s="58"/>
      <c r="AG41" s="58"/>
      <c r="AH41" s="58"/>
      <c r="AI41" s="58"/>
      <c r="AJ41" s="58"/>
      <c r="AK41" s="58"/>
      <c r="AL41" s="58"/>
      <c r="AM41" s="58"/>
    </row>
  </sheetData>
  <mergeCells count="11">
    <mergeCell ref="Y35:AM41"/>
    <mergeCell ref="I15:O21"/>
    <mergeCell ref="A23:G29"/>
    <mergeCell ref="A15:G21"/>
    <mergeCell ref="A1:G7"/>
    <mergeCell ref="A8:G14"/>
    <mergeCell ref="I30:O36"/>
    <mergeCell ref="I22:O28"/>
    <mergeCell ref="Q22:W28"/>
    <mergeCell ref="Q35:W41"/>
    <mergeCell ref="Y22:AE28"/>
  </mergeCells>
  <hyperlinks>
    <hyperlink ref="I30:O36" location="_hypergeometric" display="Hypergeometric" xr:uid="{AD7B8006-8315-4C20-B2C4-C8D7154F3AD0}"/>
    <hyperlink ref="Q35:W41" location="_binomial" display="Binomial" xr:uid="{91F30854-73CB-403E-AE41-F68B3171BAF8}"/>
    <hyperlink ref="Y22:AE28" location="_poisson" display="Poisson" xr:uid="{071EBC4E-0568-41F3-A497-9E6EDFC6F0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CEF3-53B2-49CE-ACCE-35CC69421C01}">
  <dimension ref="E1:AW172"/>
  <sheetViews>
    <sheetView workbookViewId="0"/>
  </sheetViews>
  <sheetFormatPr defaultRowHeight="12" x14ac:dyDescent="0.2"/>
  <cols>
    <col min="30" max="30" width="9.28515625" customWidth="1"/>
  </cols>
  <sheetData>
    <row r="1" spans="25:38" x14ac:dyDescent="0.2">
      <c r="Y1" s="17" t="s">
        <v>72</v>
      </c>
    </row>
    <row r="2" spans="25:38" x14ac:dyDescent="0.2">
      <c r="Z2" t="s">
        <v>73</v>
      </c>
      <c r="AH2" t="s">
        <v>75</v>
      </c>
    </row>
    <row r="4" spans="25:38" x14ac:dyDescent="0.2">
      <c r="AC4" s="19" t="s">
        <v>80</v>
      </c>
      <c r="AE4" s="43" t="s">
        <v>81</v>
      </c>
      <c r="AJ4" s="19" t="s">
        <v>80</v>
      </c>
      <c r="AL4" s="43" t="s">
        <v>81</v>
      </c>
    </row>
    <row r="5" spans="25:38" x14ac:dyDescent="0.2">
      <c r="AC5" s="19" t="s">
        <v>77</v>
      </c>
      <c r="AD5" s="25" t="s">
        <v>43</v>
      </c>
      <c r="AE5" s="39">
        <v>9</v>
      </c>
      <c r="AJ5" s="19" t="s">
        <v>77</v>
      </c>
      <c r="AK5" s="25" t="s">
        <v>43</v>
      </c>
      <c r="AL5" s="39">
        <v>9</v>
      </c>
    </row>
    <row r="6" spans="25:38" x14ac:dyDescent="0.2">
      <c r="AC6" s="19" t="s">
        <v>78</v>
      </c>
      <c r="AD6" s="25" t="s">
        <v>3</v>
      </c>
      <c r="AE6" s="39">
        <v>2</v>
      </c>
      <c r="AJ6" s="19" t="s">
        <v>78</v>
      </c>
      <c r="AK6" s="25" t="s">
        <v>3</v>
      </c>
      <c r="AL6" s="39">
        <v>0</v>
      </c>
    </row>
    <row r="7" spans="25:38" x14ac:dyDescent="0.2">
      <c r="AC7" s="19" t="s">
        <v>79</v>
      </c>
      <c r="AD7" s="25" t="s">
        <v>76</v>
      </c>
      <c r="AE7" s="42">
        <v>0.3</v>
      </c>
      <c r="AJ7" s="19" t="s">
        <v>79</v>
      </c>
      <c r="AK7" s="25" t="s">
        <v>76</v>
      </c>
      <c r="AL7" s="42">
        <v>0.3</v>
      </c>
    </row>
    <row r="8" spans="25:38" x14ac:dyDescent="0.2">
      <c r="AC8" s="17"/>
      <c r="AD8" s="25"/>
      <c r="AE8" s="20"/>
      <c r="AJ8" s="17"/>
      <c r="AK8" s="25"/>
      <c r="AL8" s="20"/>
    </row>
    <row r="9" spans="25:38" x14ac:dyDescent="0.2">
      <c r="AC9" s="17"/>
      <c r="AD9" s="25"/>
      <c r="AE9" s="20"/>
      <c r="AJ9" s="17"/>
      <c r="AK9" s="25"/>
      <c r="AL9" s="20"/>
    </row>
    <row r="10" spans="25:38" x14ac:dyDescent="0.2">
      <c r="AC10" s="19" t="s">
        <v>41</v>
      </c>
      <c r="AD10" s="25" t="s">
        <v>4</v>
      </c>
      <c r="AE10" s="27">
        <f>AE5*AE7</f>
        <v>2.6999999999999997</v>
      </c>
      <c r="AJ10" s="19" t="s">
        <v>41</v>
      </c>
      <c r="AK10" s="25" t="s">
        <v>4</v>
      </c>
      <c r="AL10" s="27">
        <f>AL5*AL7</f>
        <v>2.6999999999999997</v>
      </c>
    </row>
    <row r="11" spans="25:38" x14ac:dyDescent="0.2">
      <c r="AC11" s="19" t="s">
        <v>83</v>
      </c>
      <c r="AD11" s="25" t="s">
        <v>85</v>
      </c>
      <c r="AE11" s="27">
        <f>(AE5*AE7)*(1-AE7)</f>
        <v>1.8899999999999997</v>
      </c>
      <c r="AJ11" s="19" t="s">
        <v>83</v>
      </c>
      <c r="AK11" s="25" t="s">
        <v>85</v>
      </c>
      <c r="AL11" s="27">
        <f>(AL5*AL7)*(1-AL7)</f>
        <v>1.8899999999999997</v>
      </c>
    </row>
    <row r="12" spans="25:38" x14ac:dyDescent="0.2">
      <c r="AC12" s="19" t="s">
        <v>84</v>
      </c>
      <c r="AD12" s="25" t="s">
        <v>5</v>
      </c>
      <c r="AE12" s="30">
        <f>SQRT(AE11)</f>
        <v>1.3747727084867518</v>
      </c>
      <c r="AJ12" s="19" t="s">
        <v>84</v>
      </c>
      <c r="AK12" s="25" t="s">
        <v>5</v>
      </c>
      <c r="AL12" s="30">
        <f>SQRT(AL11)</f>
        <v>1.3747727084867518</v>
      </c>
    </row>
    <row r="13" spans="25:38" x14ac:dyDescent="0.2">
      <c r="AE13" s="20"/>
      <c r="AL13" s="20"/>
    </row>
    <row r="14" spans="25:38" x14ac:dyDescent="0.2">
      <c r="AD14" s="25" t="s">
        <v>86</v>
      </c>
      <c r="AE14" s="20">
        <f>FACT(AE5) / (FACT(AE5-AE6)*FACT(AE6))</f>
        <v>36</v>
      </c>
      <c r="AK14" s="25" t="s">
        <v>86</v>
      </c>
      <c r="AL14" s="20">
        <f>FACT(AL5) / (FACT(AL5-AL6)*FACT(AL6))</f>
        <v>1</v>
      </c>
    </row>
    <row r="15" spans="25:38" x14ac:dyDescent="0.2">
      <c r="AD15" s="25" t="s">
        <v>87</v>
      </c>
      <c r="AE15" s="29">
        <f>AE7^AE6</f>
        <v>0.09</v>
      </c>
      <c r="AK15" s="25" t="s">
        <v>87</v>
      </c>
      <c r="AL15" s="29">
        <f>AL7^AL6</f>
        <v>1</v>
      </c>
    </row>
    <row r="16" spans="25:38" x14ac:dyDescent="0.2">
      <c r="AD16" s="25" t="s">
        <v>88</v>
      </c>
      <c r="AE16" s="28">
        <f>(1-AE7)^(AE5-AE6)</f>
        <v>8.235429999999995E-2</v>
      </c>
      <c r="AK16" s="25" t="s">
        <v>88</v>
      </c>
      <c r="AL16" s="28">
        <f>(1-AL7)^(AL5-AL6)</f>
        <v>4.0353606999999972E-2</v>
      </c>
    </row>
    <row r="17" spans="26:38" x14ac:dyDescent="0.2">
      <c r="AD17" s="25" t="s">
        <v>52</v>
      </c>
      <c r="AE17" s="31">
        <f>AE14*AE15*AE16</f>
        <v>0.26682793199999982</v>
      </c>
      <c r="AK17" s="25" t="s">
        <v>52</v>
      </c>
      <c r="AL17" s="31">
        <f>AL14*AL15*AL16</f>
        <v>4.0353606999999972E-2</v>
      </c>
    </row>
    <row r="18" spans="26:38" x14ac:dyDescent="0.2">
      <c r="AD18" s="25" t="s">
        <v>52</v>
      </c>
      <c r="AE18" s="31">
        <f>_xlfn.BINOM.DIST(AE6,AE5,AE7,FALSE)</f>
        <v>0.2668279320000001</v>
      </c>
      <c r="AK18" s="25" t="s">
        <v>52</v>
      </c>
      <c r="AL18" s="31">
        <f>_xlfn.BINOM.DIST(AL6,AL5,AL7,FALSE)</f>
        <v>4.0353606999999993E-2</v>
      </c>
    </row>
    <row r="21" spans="26:38" x14ac:dyDescent="0.2">
      <c r="Z21" t="s">
        <v>74</v>
      </c>
    </row>
    <row r="23" spans="26:38" x14ac:dyDescent="0.2">
      <c r="AC23" s="19" t="s">
        <v>80</v>
      </c>
      <c r="AE23" s="43" t="s">
        <v>81</v>
      </c>
    </row>
    <row r="24" spans="26:38" x14ac:dyDescent="0.2">
      <c r="AC24" s="19" t="s">
        <v>77</v>
      </c>
      <c r="AD24" s="25" t="s">
        <v>43</v>
      </c>
      <c r="AE24" s="39">
        <v>9</v>
      </c>
    </row>
    <row r="25" spans="26:38" x14ac:dyDescent="0.2">
      <c r="AC25" s="19" t="s">
        <v>78</v>
      </c>
      <c r="AD25" s="25" t="s">
        <v>3</v>
      </c>
      <c r="AE25" s="39">
        <v>4</v>
      </c>
    </row>
    <row r="26" spans="26:38" x14ac:dyDescent="0.2">
      <c r="AC26" s="19" t="s">
        <v>79</v>
      </c>
      <c r="AD26" s="25" t="s">
        <v>76</v>
      </c>
      <c r="AE26" s="42">
        <v>0.3</v>
      </c>
    </row>
    <row r="27" spans="26:38" x14ac:dyDescent="0.2">
      <c r="AC27" s="17"/>
      <c r="AD27" s="25"/>
      <c r="AE27" s="20"/>
    </row>
    <row r="28" spans="26:38" x14ac:dyDescent="0.2">
      <c r="AC28" s="17"/>
      <c r="AD28" s="25"/>
      <c r="AE28" s="20"/>
    </row>
    <row r="29" spans="26:38" x14ac:dyDescent="0.2">
      <c r="AC29" s="19" t="s">
        <v>41</v>
      </c>
      <c r="AD29" s="25" t="s">
        <v>4</v>
      </c>
      <c r="AE29" s="27">
        <f>AE24*AE26</f>
        <v>2.6999999999999997</v>
      </c>
    </row>
    <row r="30" spans="26:38" x14ac:dyDescent="0.2">
      <c r="AC30" s="19" t="s">
        <v>83</v>
      </c>
      <c r="AD30" s="25" t="s">
        <v>85</v>
      </c>
      <c r="AE30" s="27">
        <f>(AE24*AE26)*(1-AE26)</f>
        <v>1.8899999999999997</v>
      </c>
    </row>
    <row r="31" spans="26:38" x14ac:dyDescent="0.2">
      <c r="AC31" s="19" t="s">
        <v>84</v>
      </c>
      <c r="AD31" s="25" t="s">
        <v>5</v>
      </c>
      <c r="AE31" s="30">
        <f>SQRT(AE30)</f>
        <v>1.3747727084867518</v>
      </c>
    </row>
    <row r="32" spans="26:38" x14ac:dyDescent="0.2">
      <c r="AE32" s="20"/>
    </row>
    <row r="33" spans="5:31" x14ac:dyDescent="0.2">
      <c r="AD33" s="25" t="s">
        <v>86</v>
      </c>
      <c r="AE33" s="20">
        <f>FACT(AE24) / (FACT(AE24-AE25)*FACT(AE25))</f>
        <v>126</v>
      </c>
    </row>
    <row r="34" spans="5:31" x14ac:dyDescent="0.2">
      <c r="AD34" s="25" t="s">
        <v>87</v>
      </c>
      <c r="AE34" s="29">
        <f>AE26^AE25</f>
        <v>8.0999999999999996E-3</v>
      </c>
    </row>
    <row r="35" spans="5:31" x14ac:dyDescent="0.2">
      <c r="AD35" s="25" t="s">
        <v>88</v>
      </c>
      <c r="AE35" s="28">
        <f>(1-AE26)^(AE24-AE25)</f>
        <v>0.16806999999999994</v>
      </c>
    </row>
    <row r="36" spans="5:31" x14ac:dyDescent="0.2">
      <c r="AD36" s="25" t="s">
        <v>52</v>
      </c>
      <c r="AE36" s="31">
        <f>AE33*AE34*AE35</f>
        <v>0.17153224199999995</v>
      </c>
    </row>
    <row r="37" spans="5:31" x14ac:dyDescent="0.2">
      <c r="AD37" s="25" t="s">
        <v>52</v>
      </c>
      <c r="AE37" s="31">
        <f>_xlfn.BINOM.DIST(AE25,AE24,AE26,FALSE)</f>
        <v>0.171532242</v>
      </c>
    </row>
    <row r="40" spans="5:31" x14ac:dyDescent="0.2">
      <c r="Y40" s="17" t="s">
        <v>89</v>
      </c>
    </row>
    <row r="42" spans="5:31" x14ac:dyDescent="0.2">
      <c r="Z42" s="26" t="s">
        <v>90</v>
      </c>
    </row>
    <row r="43" spans="5:31" x14ac:dyDescent="0.2">
      <c r="E43" s="19" t="s">
        <v>80</v>
      </c>
      <c r="G43" s="43" t="s">
        <v>176</v>
      </c>
      <c r="J43" s="48" t="str">
        <f>G43</f>
        <v>debit purchase</v>
      </c>
      <c r="Z43" s="20" t="s">
        <v>96</v>
      </c>
      <c r="AA43" s="20"/>
    </row>
    <row r="44" spans="5:31" x14ac:dyDescent="0.2">
      <c r="E44" s="19" t="s">
        <v>77</v>
      </c>
      <c r="F44" s="25" t="s">
        <v>43</v>
      </c>
      <c r="G44" s="39">
        <v>10</v>
      </c>
      <c r="I44" s="25" t="s">
        <v>43</v>
      </c>
      <c r="J44" s="49">
        <f>G44</f>
        <v>10</v>
      </c>
      <c r="Z44" s="20"/>
      <c r="AA44" s="20" t="s">
        <v>97</v>
      </c>
    </row>
    <row r="45" spans="5:31" x14ac:dyDescent="0.2">
      <c r="E45" s="19" t="s">
        <v>78</v>
      </c>
      <c r="F45" s="25" t="s">
        <v>3</v>
      </c>
      <c r="G45" s="39">
        <v>5</v>
      </c>
      <c r="I45" s="25" t="s">
        <v>3</v>
      </c>
      <c r="J45" s="39">
        <f>G45+1</f>
        <v>6</v>
      </c>
      <c r="Z45" s="20"/>
      <c r="AA45" s="20" t="s">
        <v>98</v>
      </c>
    </row>
    <row r="46" spans="5:31" x14ac:dyDescent="0.2">
      <c r="E46" s="19" t="s">
        <v>79</v>
      </c>
      <c r="F46" s="25" t="s">
        <v>76</v>
      </c>
      <c r="G46" s="51">
        <v>0.28000000000000003</v>
      </c>
      <c r="I46" s="25" t="s">
        <v>76</v>
      </c>
      <c r="J46" s="52">
        <f>G46</f>
        <v>0.28000000000000003</v>
      </c>
      <c r="Z46" s="20"/>
      <c r="AA46" s="20" t="s">
        <v>100</v>
      </c>
    </row>
    <row r="47" spans="5:31" x14ac:dyDescent="0.2">
      <c r="E47" s="17"/>
      <c r="F47" s="25"/>
      <c r="G47" s="20"/>
      <c r="I47" s="25"/>
      <c r="J47" s="20"/>
      <c r="Z47" s="20"/>
      <c r="AA47" s="20" t="s">
        <v>99</v>
      </c>
    </row>
    <row r="48" spans="5:31" x14ac:dyDescent="0.2">
      <c r="E48" s="17"/>
      <c r="F48" s="25"/>
      <c r="G48" s="20"/>
      <c r="I48" s="25"/>
      <c r="J48" s="20"/>
    </row>
    <row r="49" spans="5:42" x14ac:dyDescent="0.2">
      <c r="E49" s="19" t="s">
        <v>41</v>
      </c>
      <c r="F49" s="25" t="s">
        <v>4</v>
      </c>
      <c r="G49" s="27">
        <f>G44*G46</f>
        <v>2.8000000000000003</v>
      </c>
      <c r="I49" s="25" t="s">
        <v>4</v>
      </c>
      <c r="J49" s="27">
        <f>J44*J46</f>
        <v>2.8000000000000003</v>
      </c>
      <c r="Z49" t="s">
        <v>91</v>
      </c>
      <c r="AG49" t="s">
        <v>92</v>
      </c>
      <c r="AO49" t="s">
        <v>93</v>
      </c>
    </row>
    <row r="50" spans="5:42" x14ac:dyDescent="0.2">
      <c r="E50" s="19" t="s">
        <v>83</v>
      </c>
      <c r="F50" s="25" t="s">
        <v>85</v>
      </c>
      <c r="G50" s="27">
        <f>(G44*G46)*(1-G46)</f>
        <v>2.016</v>
      </c>
      <c r="I50" s="25" t="s">
        <v>85</v>
      </c>
      <c r="J50" s="27">
        <f>(J44*J46)*(1-J46)</f>
        <v>2.016</v>
      </c>
      <c r="AC50" s="19" t="s">
        <v>80</v>
      </c>
      <c r="AE50" s="43" t="s">
        <v>95</v>
      </c>
      <c r="AJ50" s="19" t="s">
        <v>80</v>
      </c>
      <c r="AL50" s="20" t="s">
        <v>95</v>
      </c>
      <c r="AM50" s="20"/>
      <c r="AP50" s="27">
        <f>AE56</f>
        <v>7.8000000000000007</v>
      </c>
    </row>
    <row r="51" spans="5:42" x14ac:dyDescent="0.2">
      <c r="E51" s="19" t="s">
        <v>84</v>
      </c>
      <c r="F51" s="25" t="s">
        <v>5</v>
      </c>
      <c r="G51" s="30">
        <f>SQRT(G50)</f>
        <v>1.4198591479439078</v>
      </c>
      <c r="I51" s="25" t="s">
        <v>5</v>
      </c>
      <c r="J51" s="30">
        <f>SQRT(J50)</f>
        <v>1.4198591479439078</v>
      </c>
      <c r="AC51" s="19" t="s">
        <v>77</v>
      </c>
      <c r="AD51" s="25" t="s">
        <v>43</v>
      </c>
      <c r="AE51" s="39">
        <v>15</v>
      </c>
      <c r="AJ51" s="19" t="s">
        <v>77</v>
      </c>
      <c r="AK51" s="25" t="s">
        <v>43</v>
      </c>
      <c r="AL51" s="28">
        <v>15</v>
      </c>
      <c r="AM51" s="28">
        <v>15</v>
      </c>
    </row>
    <row r="52" spans="5:42" x14ac:dyDescent="0.2">
      <c r="G52" s="20"/>
      <c r="J52" s="20"/>
      <c r="AC52" s="19" t="s">
        <v>78</v>
      </c>
      <c r="AD52" s="25" t="s">
        <v>3</v>
      </c>
      <c r="AE52" s="39">
        <v>5</v>
      </c>
      <c r="AJ52" s="19" t="s">
        <v>78</v>
      </c>
      <c r="AK52" s="25" t="s">
        <v>3</v>
      </c>
      <c r="AL52" s="28">
        <v>7</v>
      </c>
      <c r="AM52" s="28">
        <v>8</v>
      </c>
    </row>
    <row r="53" spans="5:42" x14ac:dyDescent="0.2">
      <c r="F53" s="25" t="s">
        <v>86</v>
      </c>
      <c r="G53" s="20">
        <f>FACT(G44) / (FACT(G44-G45)*FACT(G45))</f>
        <v>252</v>
      </c>
      <c r="I53" s="25" t="s">
        <v>86</v>
      </c>
      <c r="J53" s="20">
        <f>FACT(J44) / (FACT(J44-J45)*FACT(J45))</f>
        <v>210</v>
      </c>
      <c r="AC53" s="19" t="s">
        <v>79</v>
      </c>
      <c r="AD53" s="25" t="s">
        <v>76</v>
      </c>
      <c r="AE53" s="42">
        <v>0.52</v>
      </c>
      <c r="AJ53" s="19" t="s">
        <v>79</v>
      </c>
      <c r="AK53" s="25" t="s">
        <v>76</v>
      </c>
      <c r="AL53" s="29">
        <v>0.52</v>
      </c>
      <c r="AM53" s="29">
        <v>0.52</v>
      </c>
    </row>
    <row r="54" spans="5:42" x14ac:dyDescent="0.2">
      <c r="F54" s="25" t="s">
        <v>87</v>
      </c>
      <c r="G54" s="29">
        <f>G46^G45</f>
        <v>1.7210368000000005E-3</v>
      </c>
      <c r="I54" s="25" t="s">
        <v>87</v>
      </c>
      <c r="J54" s="29">
        <f>J46^J45</f>
        <v>4.818903040000002E-4</v>
      </c>
      <c r="O54" s="29"/>
      <c r="AC54" s="17"/>
      <c r="AD54" s="25"/>
      <c r="AE54" s="20"/>
      <c r="AJ54" s="17"/>
      <c r="AK54" s="25"/>
      <c r="AL54" s="20"/>
      <c r="AM54" s="20"/>
    </row>
    <row r="55" spans="5:42" x14ac:dyDescent="0.2">
      <c r="F55" s="25" t="s">
        <v>88</v>
      </c>
      <c r="G55" s="28">
        <f>(1-G46)^(G44-G45)</f>
        <v>0.19349176319999997</v>
      </c>
      <c r="I55" s="25" t="s">
        <v>88</v>
      </c>
      <c r="J55" s="28">
        <f>(1-J46)^(J44-J45)</f>
        <v>0.26873855999999996</v>
      </c>
      <c r="O55" s="28"/>
      <c r="AC55" s="17"/>
      <c r="AD55" s="25"/>
      <c r="AE55" s="20"/>
      <c r="AJ55" s="17"/>
      <c r="AK55" s="25"/>
      <c r="AL55" s="20"/>
      <c r="AM55" s="20"/>
      <c r="AO55" t="s">
        <v>94</v>
      </c>
    </row>
    <row r="56" spans="5:42" x14ac:dyDescent="0.2">
      <c r="F56" s="25" t="str">
        <f>"P("&amp;G45&amp;")"</f>
        <v>P(5)</v>
      </c>
      <c r="G56" s="31">
        <f>G53*G54*G55</f>
        <v>8.3917624130949622E-2</v>
      </c>
      <c r="I56" s="25" t="str">
        <f>"P("&amp;J45&amp;")"</f>
        <v>P(6)</v>
      </c>
      <c r="J56" s="31">
        <f>J53*J54*J55</f>
        <v>2.7195526338733678E-2</v>
      </c>
      <c r="O56" s="31"/>
      <c r="AC56" s="19" t="s">
        <v>41</v>
      </c>
      <c r="AD56" s="25" t="s">
        <v>4</v>
      </c>
      <c r="AE56" s="27">
        <f>AE51*AE53</f>
        <v>7.8000000000000007</v>
      </c>
      <c r="AJ56" s="19" t="s">
        <v>41</v>
      </c>
      <c r="AK56" s="25" t="s">
        <v>4</v>
      </c>
      <c r="AL56" s="27">
        <f>AL51*AL53</f>
        <v>7.8000000000000007</v>
      </c>
      <c r="AM56" s="27">
        <f>AM51*AM53</f>
        <v>7.8000000000000007</v>
      </c>
      <c r="AP56" s="27">
        <f>AE57</f>
        <v>3.7440000000000002</v>
      </c>
    </row>
    <row r="57" spans="5:42" x14ac:dyDescent="0.2">
      <c r="O57" s="31"/>
      <c r="AC57" s="19" t="s">
        <v>83</v>
      </c>
      <c r="AD57" s="25" t="s">
        <v>85</v>
      </c>
      <c r="AE57" s="27">
        <f>(AE51*AE53)*(1-AE53)</f>
        <v>3.7440000000000002</v>
      </c>
      <c r="AJ57" s="19" t="s">
        <v>83</v>
      </c>
      <c r="AK57" s="25" t="s">
        <v>85</v>
      </c>
      <c r="AL57" s="27">
        <f>(AL51*AL53)*(1-AL53)</f>
        <v>3.7440000000000002</v>
      </c>
      <c r="AM57" s="27">
        <f>(AM51*AM53)*(1-AM53)</f>
        <v>3.7440000000000002</v>
      </c>
    </row>
    <row r="58" spans="5:42" x14ac:dyDescent="0.2">
      <c r="F58" s="25" t="str">
        <f>"P("&amp;G45&amp;")"</f>
        <v>P(5)</v>
      </c>
      <c r="G58" s="50">
        <f>_xlfn.BINOM.DIST(G45,G44,G46,FALSE)</f>
        <v>8.3917624130949636E-2</v>
      </c>
      <c r="I58" s="25" t="str">
        <f>"P("&amp;J45&amp;")"</f>
        <v>P(6)</v>
      </c>
      <c r="J58" s="31">
        <f>_xlfn.BINOM.DIST(J45,J44,J46,FALSE)</f>
        <v>2.7195526338733688E-2</v>
      </c>
      <c r="O58" s="31"/>
      <c r="AC58" s="19" t="s">
        <v>84</v>
      </c>
      <c r="AD58" s="25" t="s">
        <v>5</v>
      </c>
      <c r="AE58" s="30">
        <f>SQRT(AE57)</f>
        <v>1.9349418595916519</v>
      </c>
      <c r="AJ58" s="19" t="s">
        <v>84</v>
      </c>
      <c r="AK58" s="25" t="s">
        <v>5</v>
      </c>
      <c r="AL58" s="30">
        <f>SQRT(AL57)</f>
        <v>1.9349418595916519</v>
      </c>
      <c r="AM58" s="30">
        <f>SQRT(AM57)</f>
        <v>1.9349418595916519</v>
      </c>
    </row>
    <row r="59" spans="5:42" x14ac:dyDescent="0.2">
      <c r="F59" s="25" t="str">
        <f>"P(&lt;"&amp;G45&amp;")"</f>
        <v>P(&lt;5)</v>
      </c>
      <c r="G59" s="50">
        <f>IFERROR(_xlfn.BINOM.DIST(G45-1,G44,G46,TRUE),0)</f>
        <v>0.88188293588057065</v>
      </c>
      <c r="I59" s="25" t="str">
        <f>"P(&lt;"&amp;J45&amp;")"</f>
        <v>P(&lt;6)</v>
      </c>
      <c r="J59" s="31">
        <f>_xlfn.BINOM.DIST(J45-1,J44,J46,TRUE)</f>
        <v>0.96580056001152026</v>
      </c>
      <c r="O59" s="31"/>
      <c r="AE59" s="20"/>
      <c r="AL59" s="20"/>
      <c r="AM59" s="20"/>
    </row>
    <row r="60" spans="5:42" x14ac:dyDescent="0.2">
      <c r="F60" s="25" t="str">
        <f>"P(&lt;="&amp;G45&amp;")"</f>
        <v>P(&lt;=5)</v>
      </c>
      <c r="G60" s="50">
        <f>_xlfn.BINOM.DIST(G45,G44,G46,TRUE)</f>
        <v>0.96580056001152026</v>
      </c>
      <c r="I60" s="25" t="str">
        <f>"P(&lt;="&amp;J45&amp;")"</f>
        <v>P(&lt;=6)</v>
      </c>
      <c r="J60" s="50">
        <f>_xlfn.BINOM.DIST(J45,J44,J46,TRUE)</f>
        <v>0.99299608635025394</v>
      </c>
      <c r="AD60" s="25" t="s">
        <v>86</v>
      </c>
      <c r="AE60" s="20">
        <f>FACT(AE51) / (FACT(AE51-AE52)*FACT(AE52))</f>
        <v>3003</v>
      </c>
      <c r="AK60" s="25" t="s">
        <v>86</v>
      </c>
      <c r="AL60" s="20">
        <f>FACT(AL51) / (FACT(AL51-AL52)*FACT(AL52))</f>
        <v>6435</v>
      </c>
      <c r="AM60" s="20">
        <f>FACT(AM51) / (FACT(AM51-AM52)*FACT(AM52))</f>
        <v>6435</v>
      </c>
    </row>
    <row r="61" spans="5:42" x14ac:dyDescent="0.2">
      <c r="F61" s="25" t="str">
        <f>"P(&gt;="&amp;G45&amp;")"</f>
        <v>P(&gt;=5)</v>
      </c>
      <c r="G61" s="50">
        <f>1-G59</f>
        <v>0.11811706411942935</v>
      </c>
      <c r="I61" s="25" t="str">
        <f>"P(&gt;="&amp;J45&amp;")"</f>
        <v>P(&gt;=6)</v>
      </c>
      <c r="J61" s="31">
        <f>1-J59</f>
        <v>3.4199439988479741E-2</v>
      </c>
      <c r="AD61" s="25" t="s">
        <v>87</v>
      </c>
      <c r="AE61" s="29">
        <f>AE53^AE52</f>
        <v>3.8020403200000011E-2</v>
      </c>
      <c r="AK61" s="25" t="s">
        <v>87</v>
      </c>
      <c r="AL61" s="29">
        <f>AL53^AL52</f>
        <v>1.0280717025280002E-2</v>
      </c>
      <c r="AM61" s="29">
        <f>AM53^AM52</f>
        <v>5.345972853145602E-3</v>
      </c>
    </row>
    <row r="62" spans="5:42" x14ac:dyDescent="0.2">
      <c r="F62" s="25" t="str">
        <f>"P(&gt;"&amp;G45&amp;")"</f>
        <v>P(&gt;5)</v>
      </c>
      <c r="G62" s="50">
        <f>G61-G58</f>
        <v>3.4199439988479713E-2</v>
      </c>
      <c r="I62" s="25" t="str">
        <f>"P(&gt;"&amp;J45&amp;")"</f>
        <v>P(&gt;6)</v>
      </c>
      <c r="J62" s="31">
        <f>J61-J58</f>
        <v>7.0039136497460526E-3</v>
      </c>
      <c r="O62" s="31"/>
      <c r="AD62" s="25" t="s">
        <v>88</v>
      </c>
      <c r="AE62" s="28">
        <f>(1-AE53)^(AE51-AE52)</f>
        <v>6.4925062108545019E-4</v>
      </c>
      <c r="AK62" s="25" t="s">
        <v>88</v>
      </c>
      <c r="AL62" s="28">
        <f>(1-AL53)^(AL51-AL52)</f>
        <v>2.8179280429056E-3</v>
      </c>
      <c r="AM62" s="28">
        <f>(1-AM53)^(AM51-AM52)</f>
        <v>5.8706834227199994E-3</v>
      </c>
    </row>
    <row r="63" spans="5:42" x14ac:dyDescent="0.2">
      <c r="G63" s="12"/>
      <c r="AD63" s="25" t="s">
        <v>52</v>
      </c>
      <c r="AE63" s="31">
        <f>AE60*AE61*AE62</f>
        <v>7.4128365485732289E-2</v>
      </c>
      <c r="AK63" s="25" t="s">
        <v>52</v>
      </c>
      <c r="AL63" s="31">
        <f>AL60*AL61*AL62</f>
        <v>0.18642401439120174</v>
      </c>
      <c r="AM63" s="31">
        <f>AM60*AM61*AM62</f>
        <v>0.20195934892380191</v>
      </c>
    </row>
    <row r="64" spans="5:42" x14ac:dyDescent="0.2">
      <c r="G64" s="25" t="str">
        <f>"P("&amp;G45&amp;"or"&amp;J45&amp;")"</f>
        <v>P(5or6)</v>
      </c>
      <c r="H64" s="31">
        <f>SUM(G56,J56)</f>
        <v>0.1111131504696833</v>
      </c>
      <c r="AD64" s="25" t="s">
        <v>52</v>
      </c>
      <c r="AE64" s="31">
        <f>_xlfn.BINOM.DIST(AE52,AE51,AE53,FALSE)</f>
        <v>7.4128365485732262E-2</v>
      </c>
      <c r="AK64" s="25" t="s">
        <v>52</v>
      </c>
      <c r="AL64" s="31">
        <f>_xlfn.BINOM.DIST(AL52,AL51,AL53,FALSE)</f>
        <v>0.18642401439120171</v>
      </c>
      <c r="AM64" s="31">
        <f>_xlfn.BINOM.DIST(AM52,AM51,AM53,FALSE)</f>
        <v>0.20195934892380188</v>
      </c>
    </row>
    <row r="65" spans="7:49" x14ac:dyDescent="0.2">
      <c r="G65" s="25" t="str">
        <f>"P("&amp;G45&amp;"thru"&amp;J45&amp;")"</f>
        <v>P(5thru6)</v>
      </c>
      <c r="H65" s="31">
        <f>1-G59-J62</f>
        <v>0.1111131504696833</v>
      </c>
      <c r="AL65" s="20"/>
      <c r="AM65" s="20"/>
    </row>
    <row r="66" spans="7:49" x14ac:dyDescent="0.2">
      <c r="AK66" s="25" t="s">
        <v>101</v>
      </c>
      <c r="AL66" s="31">
        <f>SUM(AL63:AM63)</f>
        <v>0.38838336331500367</v>
      </c>
    </row>
    <row r="67" spans="7:49" x14ac:dyDescent="0.2">
      <c r="AK67" s="25"/>
      <c r="AL67" s="20"/>
      <c r="AM67" s="31"/>
    </row>
    <row r="69" spans="7:49" x14ac:dyDescent="0.2">
      <c r="Y69" s="17" t="s">
        <v>102</v>
      </c>
    </row>
    <row r="70" spans="7:49" x14ac:dyDescent="0.2">
      <c r="Z70" s="20" t="s">
        <v>107</v>
      </c>
      <c r="AA70" s="20"/>
    </row>
    <row r="71" spans="7:49" x14ac:dyDescent="0.2">
      <c r="Z71" s="20"/>
      <c r="AA71" s="20" t="s">
        <v>108</v>
      </c>
    </row>
    <row r="72" spans="7:49" x14ac:dyDescent="0.2">
      <c r="Z72" s="20"/>
      <c r="AA72" s="20" t="s">
        <v>110</v>
      </c>
    </row>
    <row r="73" spans="7:49" x14ac:dyDescent="0.2">
      <c r="Z73" s="20"/>
      <c r="AA73" s="20" t="s">
        <v>109</v>
      </c>
    </row>
    <row r="74" spans="7:49" x14ac:dyDescent="0.2">
      <c r="Z74" s="20"/>
      <c r="AA74" s="20" t="s">
        <v>99</v>
      </c>
    </row>
    <row r="76" spans="7:49" x14ac:dyDescent="0.2">
      <c r="Z76" t="s">
        <v>103</v>
      </c>
      <c r="AI76" t="s">
        <v>105</v>
      </c>
      <c r="AQ76" t="s">
        <v>106</v>
      </c>
    </row>
    <row r="77" spans="7:49" x14ac:dyDescent="0.2">
      <c r="AA77" s="2">
        <f>AE87</f>
        <v>10.5</v>
      </c>
      <c r="AL77" s="19" t="s">
        <v>80</v>
      </c>
      <c r="AN77" s="43" t="s">
        <v>111</v>
      </c>
      <c r="AO77" s="43" t="s">
        <v>111</v>
      </c>
      <c r="AT77" s="19" t="s">
        <v>80</v>
      </c>
      <c r="AV77" s="43" t="s">
        <v>111</v>
      </c>
      <c r="AW77" s="20"/>
    </row>
    <row r="78" spans="7:49" x14ac:dyDescent="0.2">
      <c r="AA78" s="2">
        <f>AE89</f>
        <v>1.7748239349298849</v>
      </c>
      <c r="AL78" s="19" t="s">
        <v>77</v>
      </c>
      <c r="AM78" s="25" t="s">
        <v>43</v>
      </c>
      <c r="AN78" s="39">
        <v>15</v>
      </c>
      <c r="AO78" s="39">
        <v>15</v>
      </c>
      <c r="AT78" s="19" t="s">
        <v>77</v>
      </c>
      <c r="AU78" s="25" t="s">
        <v>43</v>
      </c>
      <c r="AV78" s="39">
        <v>15</v>
      </c>
      <c r="AW78" s="28"/>
    </row>
    <row r="79" spans="7:49" x14ac:dyDescent="0.2">
      <c r="AL79" s="19" t="s">
        <v>78</v>
      </c>
      <c r="AM79" s="25" t="s">
        <v>3</v>
      </c>
      <c r="AN79" s="39">
        <v>10</v>
      </c>
      <c r="AO79" s="39">
        <v>11</v>
      </c>
      <c r="AT79" s="19" t="s">
        <v>78</v>
      </c>
      <c r="AU79" s="25" t="s">
        <v>3</v>
      </c>
      <c r="AV79" s="39">
        <v>10</v>
      </c>
      <c r="AW79" s="28"/>
    </row>
    <row r="80" spans="7:49" x14ac:dyDescent="0.2">
      <c r="Z80" t="s">
        <v>104</v>
      </c>
      <c r="AL80" s="19" t="s">
        <v>79</v>
      </c>
      <c r="AM80" s="25" t="s">
        <v>76</v>
      </c>
      <c r="AN80" s="42">
        <v>0.7</v>
      </c>
      <c r="AO80" s="42">
        <v>0.7</v>
      </c>
      <c r="AT80" s="19" t="s">
        <v>79</v>
      </c>
      <c r="AU80" s="25" t="s">
        <v>76</v>
      </c>
      <c r="AV80" s="42">
        <v>0.7</v>
      </c>
      <c r="AW80" s="29"/>
    </row>
    <row r="81" spans="29:49" x14ac:dyDescent="0.2">
      <c r="AC81" s="19" t="s">
        <v>80</v>
      </c>
      <c r="AE81" s="43" t="s">
        <v>111</v>
      </c>
      <c r="AL81" s="17"/>
      <c r="AM81" s="25"/>
      <c r="AN81" s="20"/>
      <c r="AO81" s="20"/>
      <c r="AT81" s="17"/>
      <c r="AU81" s="25"/>
      <c r="AV81" s="20"/>
      <c r="AW81" s="20"/>
    </row>
    <row r="82" spans="29:49" x14ac:dyDescent="0.2">
      <c r="AC82" s="19" t="s">
        <v>77</v>
      </c>
      <c r="AD82" s="25" t="s">
        <v>43</v>
      </c>
      <c r="AE82" s="39">
        <v>15</v>
      </c>
      <c r="AL82" s="17"/>
      <c r="AM82" s="25"/>
      <c r="AN82" s="20"/>
      <c r="AO82" s="20"/>
      <c r="AT82" s="17"/>
      <c r="AU82" s="25" t="s">
        <v>52</v>
      </c>
      <c r="AV82" s="31">
        <f>_xlfn.BINOM.DIST(AV79,AV78,AV80,TRUE)</f>
        <v>0.48450894077315698</v>
      </c>
      <c r="AW82" s="32" t="s">
        <v>114</v>
      </c>
    </row>
    <row r="83" spans="29:49" x14ac:dyDescent="0.2">
      <c r="AC83" s="19" t="s">
        <v>78</v>
      </c>
      <c r="AD83" s="25" t="s">
        <v>3</v>
      </c>
      <c r="AE83" s="39">
        <v>10</v>
      </c>
      <c r="AL83" s="19" t="s">
        <v>41</v>
      </c>
      <c r="AM83" s="25" t="s">
        <v>4</v>
      </c>
      <c r="AN83" s="27">
        <f>AN78*AN80</f>
        <v>10.5</v>
      </c>
      <c r="AO83" s="27">
        <f>AO78*AO80</f>
        <v>10.5</v>
      </c>
      <c r="AT83" s="19"/>
      <c r="AW83" s="27"/>
    </row>
    <row r="84" spans="29:49" x14ac:dyDescent="0.2">
      <c r="AC84" s="19" t="s">
        <v>79</v>
      </c>
      <c r="AD84" s="25" t="s">
        <v>76</v>
      </c>
      <c r="AE84" s="42">
        <v>0.7</v>
      </c>
      <c r="AL84" s="19" t="s">
        <v>83</v>
      </c>
      <c r="AM84" s="25" t="s">
        <v>85</v>
      </c>
      <c r="AN84" s="27">
        <f>(AN78*AN80)*(1-AN80)</f>
        <v>3.1500000000000004</v>
      </c>
      <c r="AO84" s="27">
        <f>(AO78*AO80)*(1-AO80)</f>
        <v>3.1500000000000004</v>
      </c>
      <c r="AT84" s="19"/>
      <c r="AU84" s="25" t="s">
        <v>113</v>
      </c>
      <c r="AV84" s="31">
        <f>1-AV82</f>
        <v>0.51549105922684302</v>
      </c>
      <c r="AW84" s="33" t="s">
        <v>115</v>
      </c>
    </row>
    <row r="85" spans="29:49" x14ac:dyDescent="0.2">
      <c r="AC85" s="17"/>
      <c r="AD85" s="25"/>
      <c r="AE85" s="20"/>
      <c r="AL85" s="19" t="s">
        <v>84</v>
      </c>
      <c r="AM85" s="25" t="s">
        <v>5</v>
      </c>
      <c r="AN85" s="30">
        <f>SQRT(AN84)</f>
        <v>1.7748239349298849</v>
      </c>
      <c r="AO85" s="30">
        <f>SQRT(AO84)</f>
        <v>1.7748239349298849</v>
      </c>
      <c r="AT85" s="19"/>
      <c r="AV85" s="20" t="s">
        <v>116</v>
      </c>
      <c r="AW85" s="30"/>
    </row>
    <row r="86" spans="29:49" x14ac:dyDescent="0.2">
      <c r="AC86" s="17"/>
      <c r="AD86" s="25"/>
      <c r="AE86" s="20"/>
      <c r="AN86" s="20"/>
      <c r="AO86" s="20"/>
      <c r="AV86" s="20"/>
      <c r="AW86" s="20"/>
    </row>
    <row r="87" spans="29:49" x14ac:dyDescent="0.2">
      <c r="AC87" s="19" t="s">
        <v>41</v>
      </c>
      <c r="AD87" s="25" t="s">
        <v>4</v>
      </c>
      <c r="AE87" s="27">
        <f>AE82*AE84</f>
        <v>10.5</v>
      </c>
      <c r="AM87" s="25" t="s">
        <v>86</v>
      </c>
      <c r="AN87" s="20">
        <f>FACT(AN78) / (FACT(AN78-AN79)*FACT(AN79))</f>
        <v>3003</v>
      </c>
      <c r="AO87" s="20">
        <f>FACT(AO78) / (FACT(AO78-AO79)*FACT(AO79))</f>
        <v>1365</v>
      </c>
      <c r="AU87" s="25"/>
      <c r="AV87" s="20"/>
      <c r="AW87" s="20"/>
    </row>
    <row r="88" spans="29:49" x14ac:dyDescent="0.2">
      <c r="AC88" s="19" t="s">
        <v>83</v>
      </c>
      <c r="AD88" s="25" t="s">
        <v>85</v>
      </c>
      <c r="AE88" s="27">
        <f>(AE82*AE84)*(1-AE84)</f>
        <v>3.1500000000000004</v>
      </c>
      <c r="AM88" s="25" t="s">
        <v>87</v>
      </c>
      <c r="AN88" s="29">
        <f>AN80^AN79</f>
        <v>2.824752489999998E-2</v>
      </c>
      <c r="AO88" s="29">
        <f>AO80^AO79</f>
        <v>1.9773267429999984E-2</v>
      </c>
      <c r="AU88" s="25"/>
      <c r="AV88" s="29"/>
      <c r="AW88" s="29"/>
    </row>
    <row r="89" spans="29:49" x14ac:dyDescent="0.2">
      <c r="AC89" s="19" t="s">
        <v>84</v>
      </c>
      <c r="AD89" s="25" t="s">
        <v>5</v>
      </c>
      <c r="AE89" s="30">
        <f>SQRT(AE88)</f>
        <v>1.7748239349298849</v>
      </c>
      <c r="AM89" s="25" t="s">
        <v>88</v>
      </c>
      <c r="AN89" s="28">
        <f>(1-AN80)^(AN78-AN79)</f>
        <v>2.4300000000000016E-3</v>
      </c>
      <c r="AO89" s="28">
        <f>(1-AO80)^(AO78-AO79)</f>
        <v>8.1000000000000048E-3</v>
      </c>
      <c r="AU89" s="25"/>
      <c r="AV89" s="28"/>
      <c r="AW89" s="28"/>
    </row>
    <row r="90" spans="29:49" x14ac:dyDescent="0.2">
      <c r="AE90" s="20"/>
      <c r="AM90" s="25" t="s">
        <v>52</v>
      </c>
      <c r="AN90" s="31">
        <f>AN87*AN88*AN89</f>
        <v>0.20613038097752098</v>
      </c>
      <c r="AO90" s="31">
        <f>AO87*AO88*AO89</f>
        <v>0.21862313133979494</v>
      </c>
      <c r="AU90" s="25"/>
      <c r="AV90" s="31"/>
      <c r="AW90" s="31"/>
    </row>
    <row r="91" spans="29:49" x14ac:dyDescent="0.2">
      <c r="AD91" s="25" t="s">
        <v>86</v>
      </c>
      <c r="AE91" s="20">
        <f>FACT(AE82) / (FACT(AE82-AE83)*FACT(AE83))</f>
        <v>3003</v>
      </c>
      <c r="AM91" s="25" t="s">
        <v>52</v>
      </c>
      <c r="AN91" s="31">
        <f>_xlfn.BINOM.DIST(AN79,AN78,AN80,FALSE)</f>
        <v>0.20613038097752104</v>
      </c>
      <c r="AO91" s="31">
        <f>_xlfn.BINOM.DIST(AO79,AO78,AO80,FALSE)</f>
        <v>0.21862313133979494</v>
      </c>
      <c r="AW91" s="31"/>
    </row>
    <row r="92" spans="29:49" x14ac:dyDescent="0.2">
      <c r="AD92" s="25" t="s">
        <v>87</v>
      </c>
      <c r="AE92" s="29">
        <f>AE84^AE83</f>
        <v>2.824752489999998E-2</v>
      </c>
    </row>
    <row r="93" spans="29:49" x14ac:dyDescent="0.2">
      <c r="AD93" s="25" t="s">
        <v>88</v>
      </c>
      <c r="AE93" s="28">
        <f>(1-AE84)^(AE82-AE83)</f>
        <v>2.4300000000000016E-3</v>
      </c>
      <c r="AM93" s="25" t="s">
        <v>112</v>
      </c>
      <c r="AN93" s="31">
        <f>SUM(AN90:AO90)</f>
        <v>0.42475351231731595</v>
      </c>
    </row>
    <row r="94" spans="29:49" x14ac:dyDescent="0.2">
      <c r="AD94" s="25" t="s">
        <v>52</v>
      </c>
      <c r="AE94" s="31">
        <f>AE91*AE92*AE93</f>
        <v>0.20613038097752098</v>
      </c>
    </row>
    <row r="95" spans="29:49" x14ac:dyDescent="0.2">
      <c r="AD95" s="25" t="s">
        <v>52</v>
      </c>
      <c r="AE95" s="31">
        <f>_xlfn.BINOM.DIST(AE83,AE82,AE84,FALSE)</f>
        <v>0.20613038097752104</v>
      </c>
    </row>
    <row r="97" spans="25:39" x14ac:dyDescent="0.2">
      <c r="Y97" s="17" t="s">
        <v>154</v>
      </c>
    </row>
    <row r="98" spans="25:39" x14ac:dyDescent="0.2">
      <c r="Z98" t="s">
        <v>155</v>
      </c>
    </row>
    <row r="99" spans="25:39" x14ac:dyDescent="0.2">
      <c r="AA99" s="41">
        <f>AE109</f>
        <v>3.5</v>
      </c>
    </row>
    <row r="101" spans="25:39" x14ac:dyDescent="0.2">
      <c r="Z101" t="s">
        <v>156</v>
      </c>
      <c r="AH101" t="s">
        <v>157</v>
      </c>
    </row>
    <row r="103" spans="25:39" x14ac:dyDescent="0.2">
      <c r="AC103" s="19" t="s">
        <v>80</v>
      </c>
      <c r="AE103" s="43" t="s">
        <v>158</v>
      </c>
      <c r="AK103" s="19" t="s">
        <v>80</v>
      </c>
      <c r="AM103" s="43" t="s">
        <v>158</v>
      </c>
    </row>
    <row r="104" spans="25:39" x14ac:dyDescent="0.2">
      <c r="AC104" s="19" t="s">
        <v>77</v>
      </c>
      <c r="AD104" s="25" t="s">
        <v>43</v>
      </c>
      <c r="AE104" s="39">
        <v>10</v>
      </c>
      <c r="AK104" s="19" t="s">
        <v>77</v>
      </c>
      <c r="AL104" s="25" t="s">
        <v>43</v>
      </c>
      <c r="AM104" s="39">
        <v>10</v>
      </c>
    </row>
    <row r="105" spans="25:39" x14ac:dyDescent="0.2">
      <c r="AC105" s="19" t="s">
        <v>78</v>
      </c>
      <c r="AD105" s="25" t="s">
        <v>3</v>
      </c>
      <c r="AE105" s="39">
        <v>4</v>
      </c>
      <c r="AK105" s="19" t="s">
        <v>78</v>
      </c>
      <c r="AL105" s="25" t="s">
        <v>3</v>
      </c>
      <c r="AM105" s="39">
        <v>4</v>
      </c>
    </row>
    <row r="106" spans="25:39" x14ac:dyDescent="0.2">
      <c r="AC106" s="19" t="s">
        <v>79</v>
      </c>
      <c r="AD106" s="25" t="s">
        <v>76</v>
      </c>
      <c r="AE106" s="42">
        <v>0.35</v>
      </c>
      <c r="AK106" s="19" t="s">
        <v>79</v>
      </c>
      <c r="AL106" s="25" t="s">
        <v>76</v>
      </c>
      <c r="AM106" s="42">
        <v>0.35</v>
      </c>
    </row>
    <row r="107" spans="25:39" x14ac:dyDescent="0.2">
      <c r="AC107" s="17"/>
      <c r="AD107" s="25"/>
      <c r="AE107" s="20"/>
      <c r="AK107" s="17"/>
      <c r="AL107" s="25"/>
      <c r="AM107" s="20"/>
    </row>
    <row r="108" spans="25:39" x14ac:dyDescent="0.2">
      <c r="AC108" s="17"/>
      <c r="AD108" s="25"/>
      <c r="AE108" s="20"/>
      <c r="AK108" s="17"/>
      <c r="AL108" s="25"/>
      <c r="AM108" s="20"/>
    </row>
    <row r="109" spans="25:39" x14ac:dyDescent="0.2">
      <c r="AC109" s="19" t="s">
        <v>41</v>
      </c>
      <c r="AD109" s="25" t="s">
        <v>4</v>
      </c>
      <c r="AE109" s="27">
        <f>AE104*AE106</f>
        <v>3.5</v>
      </c>
      <c r="AK109" s="19" t="s">
        <v>41</v>
      </c>
      <c r="AL109" s="25" t="s">
        <v>4</v>
      </c>
      <c r="AM109" s="27">
        <f>AM104*AM106</f>
        <v>3.5</v>
      </c>
    </row>
    <row r="110" spans="25:39" x14ac:dyDescent="0.2">
      <c r="AC110" s="19" t="s">
        <v>83</v>
      </c>
      <c r="AD110" s="25" t="s">
        <v>85</v>
      </c>
      <c r="AE110" s="27">
        <f>(AE104*AE106)*(1-AE106)</f>
        <v>2.2749999999999999</v>
      </c>
      <c r="AK110" s="19" t="s">
        <v>83</v>
      </c>
      <c r="AL110" s="25" t="s">
        <v>85</v>
      </c>
      <c r="AM110" s="27">
        <f>(AM104*AM106)*(1-AM106)</f>
        <v>2.2749999999999999</v>
      </c>
    </row>
    <row r="111" spans="25:39" x14ac:dyDescent="0.2">
      <c r="AC111" s="19" t="s">
        <v>84</v>
      </c>
      <c r="AD111" s="25" t="s">
        <v>5</v>
      </c>
      <c r="AE111" s="30">
        <f>SQRT(AE110)</f>
        <v>1.5083103128998356</v>
      </c>
      <c r="AK111" s="19" t="s">
        <v>84</v>
      </c>
      <c r="AL111" s="25" t="s">
        <v>5</v>
      </c>
      <c r="AM111" s="30">
        <f>SQRT(AM110)</f>
        <v>1.5083103128998356</v>
      </c>
    </row>
    <row r="112" spans="25:39" x14ac:dyDescent="0.2">
      <c r="AE112" s="20"/>
      <c r="AM112" s="20"/>
    </row>
    <row r="113" spans="25:40" x14ac:dyDescent="0.2">
      <c r="AD113" s="25" t="s">
        <v>86</v>
      </c>
      <c r="AE113" s="20">
        <f>FACT(AE104) / (FACT(AE104-AE105)*FACT(AE105))</f>
        <v>210</v>
      </c>
      <c r="AL113" s="25" t="s">
        <v>86</v>
      </c>
      <c r="AM113" s="20">
        <f>FACT(AM104) / (FACT(AM104-AM105)*FACT(AM105))</f>
        <v>210</v>
      </c>
    </row>
    <row r="114" spans="25:40" x14ac:dyDescent="0.2">
      <c r="AD114" s="25" t="s">
        <v>87</v>
      </c>
      <c r="AE114" s="29">
        <f>AE106^AE105</f>
        <v>1.5006249999999995E-2</v>
      </c>
      <c r="AL114" s="25" t="s">
        <v>87</v>
      </c>
      <c r="AM114" s="29">
        <f>AM106^AM105</f>
        <v>1.5006249999999995E-2</v>
      </c>
    </row>
    <row r="115" spans="25:40" x14ac:dyDescent="0.2">
      <c r="AD115" s="25" t="s">
        <v>88</v>
      </c>
      <c r="AE115" s="28">
        <f>(1-AE106)^(AE104-AE105)</f>
        <v>7.5418890625000026E-2</v>
      </c>
      <c r="AL115" s="25" t="s">
        <v>88</v>
      </c>
      <c r="AM115" s="28">
        <f>(1-AM106)^(AM104-AM105)</f>
        <v>7.5418890625000026E-2</v>
      </c>
    </row>
    <row r="116" spans="25:40" x14ac:dyDescent="0.2">
      <c r="AD116" s="25" t="str">
        <f>"P("&amp;AE105&amp;")"</f>
        <v>P(4)</v>
      </c>
      <c r="AE116" s="31">
        <f>AE113*AE114*AE115</f>
        <v>0.23766849276269533</v>
      </c>
      <c r="AL116" s="25" t="str">
        <f>"P("&amp;AM105&amp;")"</f>
        <v>P(4)</v>
      </c>
      <c r="AM116" s="31">
        <f>AM113*AM114*AM115</f>
        <v>0.23766849276269533</v>
      </c>
    </row>
    <row r="117" spans="25:40" x14ac:dyDescent="0.2">
      <c r="AD117" s="25" t="str">
        <f>"P("&amp;AE105&amp;")"</f>
        <v>P(4)</v>
      </c>
      <c r="AE117" s="31">
        <f>_xlfn.BINOM.DIST(AE105,AE104,AE106,FALSE)</f>
        <v>0.23766849276269536</v>
      </c>
      <c r="AL117" s="25" t="str">
        <f>"P("&amp;AM105&amp;")"</f>
        <v>P(4)</v>
      </c>
      <c r="AM117" s="31">
        <f>_xlfn.BINOM.DIST(AM105,AM104,AM106,FALSE)</f>
        <v>0.23766849276269536</v>
      </c>
      <c r="AN117" s="32" t="s">
        <v>159</v>
      </c>
    </row>
    <row r="119" spans="25:40" x14ac:dyDescent="0.2">
      <c r="AD119" s="25"/>
      <c r="AL119" s="25" t="str">
        <f>"P(&lt;"&amp;AM105&amp;")"</f>
        <v>P(&lt;4)</v>
      </c>
      <c r="AM119" s="31">
        <f>_xlfn.BINOM.DIST(AM105-1,AM104,AM106,TRUE)</f>
        <v>0.51382701635585959</v>
      </c>
      <c r="AN119" s="32" t="s">
        <v>160</v>
      </c>
    </row>
    <row r="120" spans="25:40" x14ac:dyDescent="0.2">
      <c r="AL120" s="25" t="str">
        <f>"P(&gt;="&amp;AM105&amp;")"</f>
        <v>P(&gt;=4)</v>
      </c>
      <c r="AM120" s="31">
        <f>1-AM119</f>
        <v>0.48617298364414041</v>
      </c>
      <c r="AN120" s="32" t="s">
        <v>161</v>
      </c>
    </row>
    <row r="122" spans="25:40" x14ac:dyDescent="0.2">
      <c r="Y122" s="17" t="s">
        <v>177</v>
      </c>
    </row>
    <row r="123" spans="25:40" x14ac:dyDescent="0.2">
      <c r="Y123" s="17"/>
    </row>
    <row r="124" spans="25:40" x14ac:dyDescent="0.2">
      <c r="Z124" s="19" t="s">
        <v>80</v>
      </c>
      <c r="AB124" s="43" t="s">
        <v>181</v>
      </c>
      <c r="AE124" s="48" t="str">
        <f>AB124</f>
        <v>has a drug problem</v>
      </c>
    </row>
    <row r="125" spans="25:40" x14ac:dyDescent="0.2">
      <c r="Z125" s="19" t="s">
        <v>77</v>
      </c>
      <c r="AA125" s="25" t="s">
        <v>43</v>
      </c>
      <c r="AB125" s="39">
        <v>20</v>
      </c>
      <c r="AD125" s="25" t="s">
        <v>43</v>
      </c>
      <c r="AE125" s="49">
        <f>AB125</f>
        <v>20</v>
      </c>
      <c r="AH125" t="s">
        <v>178</v>
      </c>
    </row>
    <row r="126" spans="25:40" x14ac:dyDescent="0.2">
      <c r="Z126" s="19" t="s">
        <v>78</v>
      </c>
      <c r="AA126" s="25" t="s">
        <v>3</v>
      </c>
      <c r="AB126" s="39">
        <v>0</v>
      </c>
      <c r="AD126" s="25" t="s">
        <v>3</v>
      </c>
      <c r="AE126" s="39">
        <f>AB126+1</f>
        <v>1</v>
      </c>
      <c r="AI126" s="2">
        <f>AB130</f>
        <v>1.5</v>
      </c>
    </row>
    <row r="127" spans="25:40" x14ac:dyDescent="0.2">
      <c r="Z127" s="19" t="s">
        <v>79</v>
      </c>
      <c r="AA127" s="25" t="s">
        <v>76</v>
      </c>
      <c r="AB127" s="40">
        <v>7.4999999999999997E-2</v>
      </c>
      <c r="AD127" s="25" t="s">
        <v>76</v>
      </c>
      <c r="AE127" s="57">
        <f>AB127</f>
        <v>7.4999999999999997E-2</v>
      </c>
      <c r="AI127" s="2">
        <f>AB132</f>
        <v>1.1779218989389748</v>
      </c>
    </row>
    <row r="128" spans="25:40" x14ac:dyDescent="0.2">
      <c r="Z128" s="17"/>
      <c r="AA128" s="25"/>
      <c r="AB128" s="20"/>
      <c r="AD128" s="25"/>
      <c r="AE128" s="20"/>
    </row>
    <row r="129" spans="26:35" x14ac:dyDescent="0.2">
      <c r="Z129" s="17"/>
      <c r="AA129" s="25"/>
      <c r="AB129" s="20"/>
      <c r="AD129" s="25"/>
      <c r="AE129" s="20"/>
      <c r="AH129" t="s">
        <v>179</v>
      </c>
    </row>
    <row r="130" spans="26:35" x14ac:dyDescent="0.2">
      <c r="Z130" s="19" t="s">
        <v>41</v>
      </c>
      <c r="AA130" s="25" t="s">
        <v>4</v>
      </c>
      <c r="AB130" s="27">
        <f>AB125*AB127</f>
        <v>1.5</v>
      </c>
      <c r="AD130" s="25" t="s">
        <v>4</v>
      </c>
      <c r="AE130" s="27">
        <f>AE125*AE127</f>
        <v>1.5</v>
      </c>
      <c r="AI130" s="12">
        <f>AB139</f>
        <v>0.21029776386659393</v>
      </c>
    </row>
    <row r="131" spans="26:35" x14ac:dyDescent="0.2">
      <c r="Z131" s="19" t="s">
        <v>83</v>
      </c>
      <c r="AA131" s="25" t="s">
        <v>85</v>
      </c>
      <c r="AB131" s="27">
        <f>(AB125*AB127)*(1-AB127)</f>
        <v>1.3875000000000002</v>
      </c>
      <c r="AD131" s="25" t="s">
        <v>85</v>
      </c>
      <c r="AE131" s="27">
        <f>(AE125*AE127)*(1-AE127)</f>
        <v>1.3875000000000002</v>
      </c>
    </row>
    <row r="132" spans="26:35" x14ac:dyDescent="0.2">
      <c r="Z132" s="19" t="s">
        <v>84</v>
      </c>
      <c r="AA132" s="25" t="s">
        <v>5</v>
      </c>
      <c r="AB132" s="30">
        <f>SQRT(AB131)</f>
        <v>1.1779218989389748</v>
      </c>
      <c r="AD132" s="25" t="s">
        <v>5</v>
      </c>
      <c r="AE132" s="30">
        <f>SQRT(AE131)</f>
        <v>1.1779218989389748</v>
      </c>
      <c r="AH132" t="s">
        <v>180</v>
      </c>
    </row>
    <row r="133" spans="26:35" x14ac:dyDescent="0.2">
      <c r="AB133" s="20"/>
      <c r="AE133" s="20"/>
      <c r="AI133" s="12">
        <f>AE142</f>
        <v>0.78970223613340607</v>
      </c>
    </row>
    <row r="134" spans="26:35" x14ac:dyDescent="0.2">
      <c r="AA134" s="25" t="s">
        <v>86</v>
      </c>
      <c r="AB134" s="20">
        <f>FACT(AB125) / (FACT(AB125-AB126)*FACT(AB126))</f>
        <v>1</v>
      </c>
      <c r="AD134" s="25" t="s">
        <v>86</v>
      </c>
      <c r="AE134" s="20">
        <f>FACT(AE125) / (FACT(AE125-AE126)*FACT(AE126))</f>
        <v>20</v>
      </c>
    </row>
    <row r="135" spans="26:35" x14ac:dyDescent="0.2">
      <c r="AA135" s="25" t="s">
        <v>87</v>
      </c>
      <c r="AB135" s="29">
        <f>AB127^AB126</f>
        <v>1</v>
      </c>
      <c r="AD135" s="25" t="s">
        <v>87</v>
      </c>
      <c r="AE135" s="29">
        <f>AE127^AE126</f>
        <v>7.4999999999999997E-2</v>
      </c>
    </row>
    <row r="136" spans="26:35" x14ac:dyDescent="0.2">
      <c r="AA136" s="25" t="s">
        <v>88</v>
      </c>
      <c r="AB136" s="28">
        <f>(1-AB127)^(AB125-AB126)</f>
        <v>0.21029776386659407</v>
      </c>
      <c r="AD136" s="25" t="s">
        <v>88</v>
      </c>
      <c r="AE136" s="28">
        <f>(1-AE127)^(AE125-AE126)</f>
        <v>0.22734893390983141</v>
      </c>
    </row>
    <row r="137" spans="26:35" x14ac:dyDescent="0.2">
      <c r="AA137" s="25" t="str">
        <f>"P("&amp;AB126&amp;")"</f>
        <v>P(0)</v>
      </c>
      <c r="AB137" s="31">
        <f>AB134*AB135*AB136</f>
        <v>0.21029776386659407</v>
      </c>
      <c r="AD137" s="25" t="str">
        <f>"P("&amp;AE126&amp;")"</f>
        <v>P(1)</v>
      </c>
      <c r="AE137" s="31">
        <f>AE134*AE135*AE136</f>
        <v>0.34102340086474714</v>
      </c>
    </row>
    <row r="139" spans="26:35" x14ac:dyDescent="0.2">
      <c r="AA139" s="25" t="str">
        <f>"P("&amp;AB126&amp;")"</f>
        <v>P(0)</v>
      </c>
      <c r="AB139" s="50">
        <f>_xlfn.BINOM.DIST(AB126,AB125,AB127,FALSE)</f>
        <v>0.21029776386659393</v>
      </c>
      <c r="AD139" s="25" t="str">
        <f>"P("&amp;AE126&amp;")"</f>
        <v>P(1)</v>
      </c>
      <c r="AE139" s="31">
        <f>_xlfn.BINOM.DIST(AE126,AE125,AE127,FALSE)</f>
        <v>0.34102340086474697</v>
      </c>
    </row>
    <row r="140" spans="26:35" x14ac:dyDescent="0.2">
      <c r="AA140" s="25" t="str">
        <f>"P(&lt;"&amp;AB126&amp;")"</f>
        <v>P(&lt;0)</v>
      </c>
      <c r="AB140" s="50">
        <f>IFERROR(_xlfn.BINOM.DIST(AB126-1,AB125,AB127,TRUE),0)</f>
        <v>0</v>
      </c>
      <c r="AD140" s="25" t="str">
        <f>"P(&lt;"&amp;AE126&amp;")"</f>
        <v>P(&lt;1)</v>
      </c>
      <c r="AE140" s="31">
        <f>_xlfn.BINOM.DIST(AE126-1,AE125,AE127,TRUE)</f>
        <v>0.21029776386659393</v>
      </c>
    </row>
    <row r="141" spans="26:35" x14ac:dyDescent="0.2">
      <c r="AA141" s="25" t="str">
        <f>"P(&lt;="&amp;AB126&amp;")"</f>
        <v>P(&lt;=0)</v>
      </c>
      <c r="AB141" s="50">
        <f>_xlfn.BINOM.DIST(AB126,AB125,AB127,TRUE)</f>
        <v>0.21029776386659393</v>
      </c>
      <c r="AD141" s="25" t="str">
        <f>"P(&lt;="&amp;AE126&amp;")"</f>
        <v>P(&lt;=1)</v>
      </c>
      <c r="AE141" s="50">
        <f>_xlfn.BINOM.DIST(AE126,AE125,AE127,TRUE)</f>
        <v>0.55132116473134096</v>
      </c>
    </row>
    <row r="142" spans="26:35" x14ac:dyDescent="0.2">
      <c r="AA142" s="25" t="str">
        <f>"P(&gt;="&amp;AB126&amp;")"</f>
        <v>P(&gt;=0)</v>
      </c>
      <c r="AB142" s="50">
        <f>1-AB140</f>
        <v>1</v>
      </c>
      <c r="AD142" s="25" t="str">
        <f>"P(&gt;="&amp;AE126&amp;")"</f>
        <v>P(&gt;=1)</v>
      </c>
      <c r="AE142" s="31">
        <f>1-AE140</f>
        <v>0.78970223613340607</v>
      </c>
    </row>
    <row r="143" spans="26:35" x14ac:dyDescent="0.2">
      <c r="AA143" s="25" t="str">
        <f>"P(&gt;"&amp;AB126&amp;")"</f>
        <v>P(&gt;0)</v>
      </c>
      <c r="AB143" s="50">
        <f>AB142-AB139</f>
        <v>0.78970223613340607</v>
      </c>
      <c r="AD143" s="25" t="str">
        <f>"P(&gt;"&amp;AE126&amp;")"</f>
        <v>P(&gt;1)</v>
      </c>
      <c r="AE143" s="31">
        <f>AE142-AE139</f>
        <v>0.44867883526865909</v>
      </c>
    </row>
    <row r="144" spans="26:35" x14ac:dyDescent="0.2">
      <c r="AB144" s="12"/>
    </row>
    <row r="145" spans="25:37" x14ac:dyDescent="0.2">
      <c r="AB145" s="25" t="str">
        <f>"P("&amp;AB126&amp;"or"&amp;AE126&amp;")"</f>
        <v>P(0or1)</v>
      </c>
      <c r="AC145" s="31">
        <f>SUM(AB137,AE137)</f>
        <v>0.55132116473134118</v>
      </c>
    </row>
    <row r="146" spans="25:37" x14ac:dyDescent="0.2">
      <c r="AB146" s="25" t="str">
        <f>"P("&amp;AB126&amp;"thru"&amp;AE126&amp;")"</f>
        <v>P(0thru1)</v>
      </c>
      <c r="AC146" s="31">
        <f>1-AB140-AE143</f>
        <v>0.55132116473134096</v>
      </c>
    </row>
    <row r="148" spans="25:37" x14ac:dyDescent="0.2">
      <c r="Y148" s="17" t="s">
        <v>197</v>
      </c>
      <c r="Z148" s="17"/>
    </row>
    <row r="149" spans="25:37" x14ac:dyDescent="0.2">
      <c r="Y149" s="17"/>
      <c r="Z149" s="17" t="s">
        <v>198</v>
      </c>
    </row>
    <row r="150" spans="25:37" x14ac:dyDescent="0.2">
      <c r="AA150" s="19" t="s">
        <v>80</v>
      </c>
      <c r="AC150" s="43" t="s">
        <v>193</v>
      </c>
      <c r="AF150" s="48" t="str">
        <f>AC150</f>
        <v>pennies should not be eliminated</v>
      </c>
      <c r="AJ150" t="s">
        <v>194</v>
      </c>
    </row>
    <row r="151" spans="25:37" x14ac:dyDescent="0.2">
      <c r="AA151" s="19" t="s">
        <v>77</v>
      </c>
      <c r="AB151" s="25" t="s">
        <v>43</v>
      </c>
      <c r="AC151" s="39">
        <v>12</v>
      </c>
      <c r="AE151" s="25" t="s">
        <v>43</v>
      </c>
      <c r="AF151" s="49">
        <f>AC151</f>
        <v>12</v>
      </c>
      <c r="AK151" s="2">
        <f>AC156</f>
        <v>8</v>
      </c>
    </row>
    <row r="152" spans="25:37" x14ac:dyDescent="0.2">
      <c r="AA152" s="19" t="s">
        <v>78</v>
      </c>
      <c r="AB152" s="25" t="s">
        <v>3</v>
      </c>
      <c r="AC152" s="39">
        <v>8</v>
      </c>
      <c r="AE152" s="25" t="s">
        <v>3</v>
      </c>
      <c r="AF152" s="39">
        <v>7</v>
      </c>
      <c r="AJ152" t="s">
        <v>195</v>
      </c>
    </row>
    <row r="153" spans="25:37" x14ac:dyDescent="0.2">
      <c r="AA153" s="19" t="s">
        <v>79</v>
      </c>
      <c r="AB153" s="25" t="s">
        <v>76</v>
      </c>
      <c r="AC153" s="51">
        <f>2/3</f>
        <v>0.66666666666666663</v>
      </c>
      <c r="AE153" s="25" t="s">
        <v>76</v>
      </c>
      <c r="AF153" s="52">
        <f>AC153</f>
        <v>0.66666666666666663</v>
      </c>
      <c r="AK153" s="12">
        <f>AC165</f>
        <v>0.23844603634269848</v>
      </c>
    </row>
    <row r="154" spans="25:37" x14ac:dyDescent="0.2">
      <c r="AA154" s="17"/>
      <c r="AB154" s="25"/>
      <c r="AC154" s="20"/>
      <c r="AE154" s="25"/>
      <c r="AF154" s="20"/>
      <c r="AJ154" t="s">
        <v>196</v>
      </c>
    </row>
    <row r="155" spans="25:37" x14ac:dyDescent="0.2">
      <c r="AA155" s="17"/>
      <c r="AB155" s="25"/>
      <c r="AC155" s="20"/>
      <c r="AE155" s="25"/>
      <c r="AF155" s="20"/>
      <c r="AK155" s="12">
        <f>AF168</f>
        <v>0.82227754350906301</v>
      </c>
    </row>
    <row r="156" spans="25:37" x14ac:dyDescent="0.2">
      <c r="AA156" s="19" t="s">
        <v>41</v>
      </c>
      <c r="AB156" s="25" t="s">
        <v>4</v>
      </c>
      <c r="AC156" s="27">
        <f>AC151*AC153</f>
        <v>8</v>
      </c>
      <c r="AE156" s="25" t="s">
        <v>4</v>
      </c>
      <c r="AF156" s="27">
        <f>AF151*AF153</f>
        <v>8</v>
      </c>
    </row>
    <row r="157" spans="25:37" x14ac:dyDescent="0.2">
      <c r="AA157" s="19" t="s">
        <v>83</v>
      </c>
      <c r="AB157" s="25" t="s">
        <v>85</v>
      </c>
      <c r="AC157" s="27">
        <f>(AC151*AC153)*(1-AC153)</f>
        <v>2.666666666666667</v>
      </c>
      <c r="AE157" s="25" t="s">
        <v>85</v>
      </c>
      <c r="AF157" s="27">
        <f>(AF151*AF153)*(1-AF153)</f>
        <v>2.666666666666667</v>
      </c>
    </row>
    <row r="158" spans="25:37" x14ac:dyDescent="0.2">
      <c r="AA158" s="19" t="s">
        <v>84</v>
      </c>
      <c r="AB158" s="25" t="s">
        <v>5</v>
      </c>
      <c r="AC158" s="30">
        <f>SQRT(AC157)</f>
        <v>1.6329931618554521</v>
      </c>
      <c r="AE158" s="25" t="s">
        <v>5</v>
      </c>
      <c r="AF158" s="30">
        <f>SQRT(AF157)</f>
        <v>1.6329931618554521</v>
      </c>
    </row>
    <row r="159" spans="25:37" x14ac:dyDescent="0.2">
      <c r="AC159" s="20"/>
      <c r="AF159" s="20"/>
    </row>
    <row r="160" spans="25:37" x14ac:dyDescent="0.2">
      <c r="AB160" s="25" t="s">
        <v>86</v>
      </c>
      <c r="AC160" s="20">
        <f>FACT(AC151) / (FACT(AC151-AC152)*FACT(AC152))</f>
        <v>495</v>
      </c>
      <c r="AE160" s="25" t="s">
        <v>86</v>
      </c>
      <c r="AF160" s="20">
        <f>FACT(AF151) / (FACT(AF151-AF152)*FACT(AF152))</f>
        <v>792</v>
      </c>
    </row>
    <row r="161" spans="28:32" x14ac:dyDescent="0.2">
      <c r="AB161" s="25" t="s">
        <v>87</v>
      </c>
      <c r="AC161" s="29">
        <f>AC153^AC152</f>
        <v>3.9018442310623375E-2</v>
      </c>
      <c r="AE161" s="25" t="s">
        <v>87</v>
      </c>
      <c r="AF161" s="29">
        <f>AF153^AF152</f>
        <v>5.8527663465935062E-2</v>
      </c>
    </row>
    <row r="162" spans="28:32" x14ac:dyDescent="0.2">
      <c r="AB162" s="25" t="s">
        <v>88</v>
      </c>
      <c r="AC162" s="28">
        <f>(1-AC153)^(AC151-AC152)</f>
        <v>1.2345679012345684E-2</v>
      </c>
      <c r="AE162" s="25" t="s">
        <v>88</v>
      </c>
      <c r="AF162" s="28">
        <f>(1-AF153)^(AF151-AF152)</f>
        <v>4.1152263374485618E-3</v>
      </c>
    </row>
    <row r="163" spans="28:32" x14ac:dyDescent="0.2">
      <c r="AB163" s="25" t="str">
        <f>"P("&amp;AC152&amp;")"</f>
        <v>P(8)</v>
      </c>
      <c r="AC163" s="31">
        <f>AC160*AC161*AC162</f>
        <v>0.23844603634269851</v>
      </c>
      <c r="AE163" s="25" t="str">
        <f>"P("&amp;AF152&amp;")"</f>
        <v>P(7)</v>
      </c>
      <c r="AF163" s="31">
        <f>AF160*AF161*AF162</f>
        <v>0.19075682907415883</v>
      </c>
    </row>
    <row r="165" spans="28:32" x14ac:dyDescent="0.2">
      <c r="AB165" s="25" t="str">
        <f>"P("&amp;AC152&amp;")"</f>
        <v>P(8)</v>
      </c>
      <c r="AC165" s="50">
        <f>_xlfn.BINOM.DIST(AC152,AC151,AC153,FALSE)</f>
        <v>0.23844603634269848</v>
      </c>
      <c r="AE165" s="25" t="str">
        <f>"P("&amp;AF152&amp;")"</f>
        <v>P(7)</v>
      </c>
      <c r="AF165" s="31">
        <f>_xlfn.BINOM.DIST(AF152,AF151,AF153,FALSE)</f>
        <v>0.19075682907415883</v>
      </c>
    </row>
    <row r="166" spans="28:32" x14ac:dyDescent="0.2">
      <c r="AB166" s="25" t="str">
        <f>"P(&lt;"&amp;AC152&amp;")"</f>
        <v>P(&lt;8)</v>
      </c>
      <c r="AC166" s="50">
        <f>IFERROR(_xlfn.BINOM.DIST(AC152-1,AC151,AC153,TRUE),0)</f>
        <v>0.36847928556509574</v>
      </c>
      <c r="AE166" s="25" t="str">
        <f>"P(&lt;"&amp;AF152&amp;")"</f>
        <v>P(&lt;7)</v>
      </c>
      <c r="AF166" s="31">
        <f>_xlfn.BINOM.DIST(AF152-1,AF151,AF153,TRUE)</f>
        <v>0.17772245649093704</v>
      </c>
    </row>
    <row r="167" spans="28:32" x14ac:dyDescent="0.2">
      <c r="AB167" s="25" t="str">
        <f>"P(&lt;="&amp;AC152&amp;")"</f>
        <v>P(&lt;=8)</v>
      </c>
      <c r="AC167" s="50">
        <f>_xlfn.BINOM.DIST(AC152,AC151,AC153,TRUE)</f>
        <v>0.60692532190779414</v>
      </c>
      <c r="AE167" s="25" t="str">
        <f>"P(&lt;="&amp;AF152&amp;")"</f>
        <v>P(&lt;=7)</v>
      </c>
      <c r="AF167" s="50">
        <f>_xlfn.BINOM.DIST(AF152,AF151,AF153,TRUE)</f>
        <v>0.36847928556509574</v>
      </c>
    </row>
    <row r="168" spans="28:32" x14ac:dyDescent="0.2">
      <c r="AB168" s="25" t="str">
        <f>"P(&gt;="&amp;AC152&amp;")"</f>
        <v>P(&gt;=8)</v>
      </c>
      <c r="AC168" s="50">
        <f>1-AC166</f>
        <v>0.63152071443490421</v>
      </c>
      <c r="AE168" s="25" t="str">
        <f>"P(&gt;="&amp;AF152&amp;")"</f>
        <v>P(&gt;=7)</v>
      </c>
      <c r="AF168" s="31">
        <f>1-AF166</f>
        <v>0.82227754350906301</v>
      </c>
    </row>
    <row r="169" spans="28:32" x14ac:dyDescent="0.2">
      <c r="AB169" s="25" t="str">
        <f>"P(&gt;"&amp;AC152&amp;")"</f>
        <v>P(&gt;8)</v>
      </c>
      <c r="AC169" s="50">
        <f>AC168-AC165</f>
        <v>0.39307467809220575</v>
      </c>
      <c r="AE169" s="25" t="str">
        <f>"P(&gt;"&amp;AF152&amp;")"</f>
        <v>P(&gt;7)</v>
      </c>
      <c r="AF169" s="31">
        <f>AF168-AF165</f>
        <v>0.63152071443490421</v>
      </c>
    </row>
    <row r="170" spans="28:32" x14ac:dyDescent="0.2">
      <c r="AC170" s="12"/>
    </row>
    <row r="171" spans="28:32" x14ac:dyDescent="0.2">
      <c r="AC171" s="25" t="str">
        <f>"P("&amp;AC152&amp;"or"&amp;AF152&amp;")"</f>
        <v>P(8or7)</v>
      </c>
      <c r="AD171" s="31">
        <f>SUM(AC163,AF163)</f>
        <v>0.42920286541685737</v>
      </c>
    </row>
    <row r="172" spans="28:32" x14ac:dyDescent="0.2">
      <c r="AC172" s="25" t="str">
        <f>"P("&amp;AC152&amp;"thru"&amp;AF152&amp;")"</f>
        <v>P(8thru7)</v>
      </c>
      <c r="AD172" s="31">
        <f>1-AC166-AF169</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FFE9-D5D0-41B1-837D-835A1D5EFCCA}">
  <dimension ref="C1:AW119"/>
  <sheetViews>
    <sheetView workbookViewId="0"/>
  </sheetViews>
  <sheetFormatPr defaultRowHeight="12" x14ac:dyDescent="0.2"/>
  <cols>
    <col min="30" max="30" width="9.28515625" customWidth="1"/>
  </cols>
  <sheetData>
    <row r="1" spans="25:38" x14ac:dyDescent="0.2">
      <c r="Y1" s="17" t="s">
        <v>118</v>
      </c>
    </row>
    <row r="2" spans="25:38" x14ac:dyDescent="0.2">
      <c r="Y2" s="17" t="s">
        <v>119</v>
      </c>
    </row>
    <row r="4" spans="25:38" x14ac:dyDescent="0.2">
      <c r="AB4" s="19" t="s">
        <v>80</v>
      </c>
      <c r="AD4" s="43" t="s">
        <v>124</v>
      </c>
      <c r="AE4" s="20"/>
      <c r="AJ4" s="19"/>
      <c r="AL4" s="20"/>
    </row>
    <row r="5" spans="25:38" x14ac:dyDescent="0.2">
      <c r="AB5" s="19" t="s">
        <v>120</v>
      </c>
      <c r="AC5" s="25" t="s">
        <v>121</v>
      </c>
      <c r="AD5" s="39">
        <v>10</v>
      </c>
      <c r="AE5" s="28"/>
      <c r="AJ5" s="19"/>
      <c r="AK5" s="25"/>
      <c r="AL5" s="28"/>
    </row>
    <row r="6" spans="25:38" x14ac:dyDescent="0.2">
      <c r="AB6" s="19" t="s">
        <v>123</v>
      </c>
      <c r="AC6" s="25" t="s">
        <v>122</v>
      </c>
      <c r="AD6" s="39">
        <v>3</v>
      </c>
      <c r="AE6" s="28"/>
      <c r="AJ6" s="19"/>
      <c r="AK6" s="25"/>
      <c r="AL6" s="28"/>
    </row>
    <row r="7" spans="25:38" x14ac:dyDescent="0.2">
      <c r="AB7" s="19" t="s">
        <v>125</v>
      </c>
      <c r="AC7" s="25" t="s">
        <v>3</v>
      </c>
      <c r="AD7" s="39">
        <v>0</v>
      </c>
      <c r="AE7" s="29"/>
      <c r="AJ7" s="19"/>
      <c r="AK7" s="25"/>
      <c r="AL7" s="29"/>
    </row>
    <row r="8" spans="25:38" x14ac:dyDescent="0.2">
      <c r="AB8" s="19" t="s">
        <v>126</v>
      </c>
      <c r="AC8" s="25" t="s">
        <v>43</v>
      </c>
      <c r="AD8" s="43">
        <v>2</v>
      </c>
      <c r="AE8" s="20"/>
      <c r="AJ8" s="17"/>
      <c r="AK8" s="25"/>
      <c r="AL8" s="20"/>
    </row>
    <row r="9" spans="25:38" x14ac:dyDescent="0.2">
      <c r="AB9" s="17"/>
      <c r="AE9" s="20"/>
      <c r="AJ9" s="17"/>
      <c r="AK9" s="25"/>
      <c r="AL9" s="20"/>
    </row>
    <row r="10" spans="25:38" x14ac:dyDescent="0.2">
      <c r="AB10" s="19"/>
      <c r="AC10" s="25" t="s">
        <v>131</v>
      </c>
      <c r="AD10" s="24">
        <f>AD5-AD6</f>
        <v>7</v>
      </c>
      <c r="AE10" s="27"/>
      <c r="AJ10" s="19"/>
      <c r="AK10" s="25"/>
      <c r="AL10" s="27"/>
    </row>
    <row r="11" spans="25:38" x14ac:dyDescent="0.2">
      <c r="AB11" s="19"/>
      <c r="AC11" s="25" t="s">
        <v>130</v>
      </c>
      <c r="AD11" s="24">
        <f>AD8-AD7</f>
        <v>2</v>
      </c>
      <c r="AE11" s="27"/>
      <c r="AJ11" s="19"/>
      <c r="AK11" s="25"/>
      <c r="AL11" s="27"/>
    </row>
    <row r="12" spans="25:38" x14ac:dyDescent="0.2">
      <c r="AB12" s="19"/>
      <c r="AE12" s="30"/>
      <c r="AJ12" s="19"/>
      <c r="AK12" s="25"/>
      <c r="AL12" s="30"/>
    </row>
    <row r="13" spans="25:38" x14ac:dyDescent="0.2">
      <c r="AC13" s="25" t="s">
        <v>127</v>
      </c>
      <c r="AD13" s="20">
        <f>FACT(AD6) / (FACT(AD6-AD7)*FACT(AD7))</f>
        <v>1</v>
      </c>
      <c r="AE13" s="20"/>
      <c r="AL13" s="20"/>
    </row>
    <row r="14" spans="25:38" x14ac:dyDescent="0.2">
      <c r="AC14" s="25" t="s">
        <v>128</v>
      </c>
      <c r="AD14" s="20">
        <f>FACT(AD10) / (FACT(AD10-AD11)*FACT(AD11))</f>
        <v>21</v>
      </c>
      <c r="AE14" s="29"/>
      <c r="AK14" s="25"/>
      <c r="AL14" s="20"/>
    </row>
    <row r="15" spans="25:38" x14ac:dyDescent="0.2">
      <c r="AC15" s="25" t="s">
        <v>129</v>
      </c>
      <c r="AD15" s="28">
        <f>FACT(AD5) / (FACT(AD5-AD8)*FACT(AD8))</f>
        <v>45</v>
      </c>
      <c r="AE15" s="28"/>
      <c r="AK15" s="25"/>
      <c r="AL15" s="29"/>
    </row>
    <row r="16" spans="25:38" x14ac:dyDescent="0.2">
      <c r="AC16" s="25" t="str">
        <f>"P("&amp;AD7&amp;")"</f>
        <v>P(0)</v>
      </c>
      <c r="AD16" s="31">
        <f>AD13*AD14/AD15</f>
        <v>0.46666666666666667</v>
      </c>
      <c r="AE16" s="31"/>
      <c r="AK16" s="25"/>
      <c r="AL16" s="28"/>
    </row>
    <row r="17" spans="4:38" x14ac:dyDescent="0.2">
      <c r="AC17" s="25" t="str">
        <f>"P("&amp;AD7&amp;")"</f>
        <v>P(0)</v>
      </c>
      <c r="AD17" s="31">
        <f>_xlfn.HYPGEOM.DIST(AD7,AD8,AD6,AD5,FALSE)</f>
        <v>0.46666666666666667</v>
      </c>
      <c r="AE17" s="34" t="s">
        <v>132</v>
      </c>
      <c r="AK17" s="25"/>
      <c r="AL17" s="31"/>
    </row>
    <row r="18" spans="4:38" x14ac:dyDescent="0.2">
      <c r="AK18" s="25"/>
      <c r="AL18" s="31"/>
    </row>
    <row r="19" spans="4:38" x14ac:dyDescent="0.2">
      <c r="AC19" s="19"/>
      <c r="AD19" s="25"/>
    </row>
    <row r="20" spans="4:38" x14ac:dyDescent="0.2">
      <c r="Y20" s="17" t="s">
        <v>133</v>
      </c>
    </row>
    <row r="22" spans="4:38" x14ac:dyDescent="0.2">
      <c r="AB22" s="19" t="s">
        <v>80</v>
      </c>
      <c r="AD22" s="20" t="s">
        <v>134</v>
      </c>
    </row>
    <row r="23" spans="4:38" x14ac:dyDescent="0.2">
      <c r="AB23" s="19" t="s">
        <v>120</v>
      </c>
      <c r="AC23" s="25" t="s">
        <v>121</v>
      </c>
      <c r="AD23" s="28">
        <v>15</v>
      </c>
      <c r="AE23" s="20"/>
    </row>
    <row r="24" spans="4:38" x14ac:dyDescent="0.2">
      <c r="AB24" s="19" t="s">
        <v>123</v>
      </c>
      <c r="AC24" s="25" t="s">
        <v>122</v>
      </c>
      <c r="AD24" s="28">
        <v>6</v>
      </c>
      <c r="AE24" s="28"/>
    </row>
    <row r="25" spans="4:38" x14ac:dyDescent="0.2">
      <c r="D25" s="19" t="s">
        <v>80</v>
      </c>
      <c r="F25" s="43" t="s">
        <v>124</v>
      </c>
      <c r="G25" s="20"/>
      <c r="I25" s="48" t="str">
        <f>F25</f>
        <v>is an underwater loan</v>
      </c>
      <c r="AB25" s="19" t="s">
        <v>125</v>
      </c>
      <c r="AC25" s="25" t="s">
        <v>3</v>
      </c>
      <c r="AD25" s="28">
        <v>2</v>
      </c>
      <c r="AE25" s="28"/>
    </row>
    <row r="26" spans="4:38" x14ac:dyDescent="0.2">
      <c r="D26" s="19" t="s">
        <v>120</v>
      </c>
      <c r="E26" s="25" t="s">
        <v>121</v>
      </c>
      <c r="F26" s="39">
        <v>10</v>
      </c>
      <c r="G26" s="28"/>
      <c r="H26" s="25" t="s">
        <v>121</v>
      </c>
      <c r="I26" s="49">
        <f>F26</f>
        <v>10</v>
      </c>
      <c r="AB26" s="19" t="s">
        <v>126</v>
      </c>
      <c r="AC26" s="25" t="s">
        <v>43</v>
      </c>
      <c r="AD26" s="20">
        <v>5</v>
      </c>
      <c r="AE26" s="29"/>
    </row>
    <row r="27" spans="4:38" x14ac:dyDescent="0.2">
      <c r="D27" s="19" t="s">
        <v>123</v>
      </c>
      <c r="E27" s="25" t="s">
        <v>122</v>
      </c>
      <c r="F27" s="39">
        <v>3</v>
      </c>
      <c r="G27" s="28"/>
      <c r="H27" s="25" t="s">
        <v>122</v>
      </c>
      <c r="I27" s="49">
        <f>F27</f>
        <v>3</v>
      </c>
      <c r="AB27" s="17"/>
      <c r="AE27" s="20"/>
    </row>
    <row r="28" spans="4:38" x14ac:dyDescent="0.2">
      <c r="D28" s="19" t="s">
        <v>125</v>
      </c>
      <c r="E28" s="25" t="s">
        <v>3</v>
      </c>
      <c r="F28" s="39">
        <v>0</v>
      </c>
      <c r="G28" s="29"/>
      <c r="H28" s="25" t="s">
        <v>3</v>
      </c>
      <c r="I28" s="39">
        <f>F28+1</f>
        <v>1</v>
      </c>
      <c r="AB28" s="19"/>
      <c r="AC28" s="25" t="s">
        <v>131</v>
      </c>
      <c r="AD28" s="24">
        <f>AD23-AD24</f>
        <v>9</v>
      </c>
      <c r="AE28" s="20"/>
    </row>
    <row r="29" spans="4:38" x14ac:dyDescent="0.2">
      <c r="D29" s="19" t="s">
        <v>126</v>
      </c>
      <c r="E29" s="25" t="s">
        <v>43</v>
      </c>
      <c r="F29" s="43">
        <v>2</v>
      </c>
      <c r="G29" s="20"/>
      <c r="H29" s="25" t="s">
        <v>43</v>
      </c>
      <c r="I29" s="48">
        <f>F29</f>
        <v>2</v>
      </c>
      <c r="AB29" s="19"/>
      <c r="AC29" s="25" t="s">
        <v>130</v>
      </c>
      <c r="AD29" s="24">
        <f>AD26-AD25</f>
        <v>3</v>
      </c>
      <c r="AE29" s="27"/>
    </row>
    <row r="30" spans="4:38" x14ac:dyDescent="0.2">
      <c r="D30" s="17"/>
      <c r="G30" s="20"/>
      <c r="AB30" s="19"/>
      <c r="AE30" s="27"/>
    </row>
    <row r="31" spans="4:38" x14ac:dyDescent="0.2">
      <c r="D31" s="19"/>
      <c r="E31" s="25" t="s">
        <v>131</v>
      </c>
      <c r="F31" s="24">
        <f>F26-F27</f>
        <v>7</v>
      </c>
      <c r="G31" s="27"/>
      <c r="H31" s="25" t="s">
        <v>131</v>
      </c>
      <c r="I31" s="24">
        <f>I26-I27</f>
        <v>7</v>
      </c>
      <c r="AC31" s="25" t="s">
        <v>127</v>
      </c>
      <c r="AD31" s="20">
        <f>FACT(AD24) / (FACT(AD24-AD25)*FACT(AD25))</f>
        <v>15</v>
      </c>
      <c r="AE31" s="30"/>
    </row>
    <row r="32" spans="4:38" x14ac:dyDescent="0.2">
      <c r="D32" s="19"/>
      <c r="E32" s="25" t="s">
        <v>130</v>
      </c>
      <c r="F32" s="24">
        <f>F29-F28</f>
        <v>2</v>
      </c>
      <c r="G32" s="27"/>
      <c r="H32" s="25" t="s">
        <v>130</v>
      </c>
      <c r="I32" s="24">
        <f>I29-I28</f>
        <v>1</v>
      </c>
      <c r="AC32" s="25" t="s">
        <v>128</v>
      </c>
      <c r="AD32" s="20">
        <f>FACT(AD28) / (FACT(AD28-AD29)*FACT(AD29))</f>
        <v>84</v>
      </c>
      <c r="AE32" s="20"/>
    </row>
    <row r="33" spans="3:37" x14ac:dyDescent="0.2">
      <c r="D33" s="19"/>
      <c r="G33" s="30"/>
      <c r="AC33" s="25" t="s">
        <v>129</v>
      </c>
      <c r="AD33" s="28">
        <f>FACT(AD23) / (FACT(AD23-AD26)*FACT(AD26))</f>
        <v>3003</v>
      </c>
      <c r="AE33" s="20"/>
    </row>
    <row r="34" spans="3:37" x14ac:dyDescent="0.2">
      <c r="E34" s="25" t="s">
        <v>127</v>
      </c>
      <c r="F34" s="20">
        <f>FACT(F27) / (FACT(F27-F28)*FACT(F28))</f>
        <v>1</v>
      </c>
      <c r="G34" s="20"/>
      <c r="H34" s="25" t="s">
        <v>127</v>
      </c>
      <c r="I34" s="20">
        <f>FACT(I27) / (FACT(I27-I28)*FACT(I28))</f>
        <v>3</v>
      </c>
      <c r="AC34" s="25" t="s">
        <v>52</v>
      </c>
      <c r="AD34" s="31">
        <f>AD31*AD32/AD33</f>
        <v>0.41958041958041958</v>
      </c>
      <c r="AE34" s="29"/>
    </row>
    <row r="35" spans="3:37" x14ac:dyDescent="0.2">
      <c r="E35" s="25" t="s">
        <v>128</v>
      </c>
      <c r="F35" s="20">
        <f>FACT(F31) / (FACT(F31-F32)*FACT(F32))</f>
        <v>21</v>
      </c>
      <c r="G35" s="29"/>
      <c r="H35" s="25" t="s">
        <v>128</v>
      </c>
      <c r="I35" s="20">
        <f>FACT(I31) / (FACT(I31-I32)*FACT(I32))</f>
        <v>7</v>
      </c>
      <c r="AC35" s="25" t="s">
        <v>52</v>
      </c>
      <c r="AD35" s="31">
        <f>_xlfn.HYPGEOM.DIST(AD25,AD26,AD24,AD23,FALSE)</f>
        <v>0.41958041958041964</v>
      </c>
      <c r="AE35" s="28"/>
    </row>
    <row r="36" spans="3:37" x14ac:dyDescent="0.2">
      <c r="E36" s="25" t="s">
        <v>129</v>
      </c>
      <c r="F36" s="28">
        <f>FACT(F26) / (FACT(F26-F29)*FACT(F29))</f>
        <v>45</v>
      </c>
      <c r="G36" s="28"/>
      <c r="H36" s="25" t="s">
        <v>129</v>
      </c>
      <c r="I36" s="28">
        <f>FACT(I26) / (FACT(I26-I29)*FACT(I29))</f>
        <v>45</v>
      </c>
      <c r="AD36" s="25"/>
      <c r="AE36" s="31"/>
    </row>
    <row r="37" spans="3:37" x14ac:dyDescent="0.2">
      <c r="E37" s="25" t="str">
        <f>"P("&amp;F28&amp;")"</f>
        <v>P(0)</v>
      </c>
      <c r="F37" s="31">
        <f>F34*F35/F36</f>
        <v>0.46666666666666667</v>
      </c>
      <c r="G37" s="31"/>
      <c r="H37" s="25" t="str">
        <f>"P("&amp;I28&amp;")"</f>
        <v>P(1)</v>
      </c>
      <c r="I37" s="31">
        <f>I34*I35/I36</f>
        <v>0.46666666666666667</v>
      </c>
      <c r="Y37" s="17" t="s">
        <v>185</v>
      </c>
      <c r="AD37" s="25"/>
      <c r="AE37" s="31"/>
    </row>
    <row r="38" spans="3:37" x14ac:dyDescent="0.2">
      <c r="E38" s="25" t="str">
        <f>"P("&amp;F28&amp;")"</f>
        <v>P(0)</v>
      </c>
      <c r="F38" s="31">
        <f>_xlfn.HYPGEOM.DIST(F28,F29,F27,F26,FALSE)</f>
        <v>0.46666666666666667</v>
      </c>
      <c r="H38" s="25" t="str">
        <f>"P("&amp;I28&amp;")"</f>
        <v>P(1)</v>
      </c>
      <c r="I38" s="31">
        <f>_xlfn.HYPGEOM.DIST(I28,I29,I27,I26,FALSE)</f>
        <v>0.46666666666666656</v>
      </c>
      <c r="J38" s="34" t="s">
        <v>132</v>
      </c>
      <c r="AJ38" s="17" t="s">
        <v>186</v>
      </c>
    </row>
    <row r="39" spans="3:37" x14ac:dyDescent="0.2">
      <c r="C39" s="5"/>
      <c r="E39" s="25" t="str">
        <f>"P(&lt;"&amp;F28&amp;")"</f>
        <v>P(&lt;0)</v>
      </c>
      <c r="F39" s="31">
        <f>IFERROR(_xlfn.HYPGEOM.DIST(F28-1,F29,F27,F26,TRUE),0)</f>
        <v>0</v>
      </c>
      <c r="H39" s="25" t="str">
        <f>"P(&lt;"&amp;I28&amp;")"</f>
        <v>P(&lt;1)</v>
      </c>
      <c r="I39" s="31">
        <f>_xlfn.HYPGEOM.DIST(I28-1,I29,I27,I26,TRUE)</f>
        <v>0.46666666666666667</v>
      </c>
    </row>
    <row r="40" spans="3:37" x14ac:dyDescent="0.2">
      <c r="C40" s="5"/>
      <c r="E40" s="25" t="str">
        <f>"P(&lt;="&amp;F28&amp;")"</f>
        <v>P(&lt;=0)</v>
      </c>
      <c r="F40" s="31">
        <f>_xlfn.HYPGEOM.DIST(F28,F29,F27,F26,TRUE)</f>
        <v>0.46666666666666667</v>
      </c>
      <c r="G40" s="34"/>
      <c r="H40" s="25" t="str">
        <f>"P(&lt;="&amp;I28&amp;")"</f>
        <v>P(&lt;=1)</v>
      </c>
      <c r="I40" s="31">
        <f>_xlfn.HYPGEOM.DIST(I28,I29,I27,I26,TRUE)</f>
        <v>0.93333333333333335</v>
      </c>
      <c r="AB40" s="19" t="s">
        <v>80</v>
      </c>
      <c r="AD40" s="43" t="s">
        <v>184</v>
      </c>
      <c r="AE40" s="20"/>
      <c r="AG40" s="48" t="str">
        <f>AD40</f>
        <v>lives in Kentucky</v>
      </c>
    </row>
    <row r="41" spans="3:37" x14ac:dyDescent="0.2">
      <c r="C41" s="5"/>
      <c r="E41" s="25" t="str">
        <f>"P(&gt;="&amp;F28&amp;")"</f>
        <v>P(&gt;=0)</v>
      </c>
      <c r="F41" s="31">
        <f>1-F39</f>
        <v>1</v>
      </c>
      <c r="H41" s="25" t="str">
        <f>"P(&gt;="&amp;I28&amp;")"</f>
        <v>P(&gt;=1)</v>
      </c>
      <c r="I41" s="31">
        <f>1-I39</f>
        <v>0.53333333333333333</v>
      </c>
      <c r="AB41" s="19" t="s">
        <v>120</v>
      </c>
      <c r="AC41" s="25" t="s">
        <v>121</v>
      </c>
      <c r="AD41" s="39">
        <v>10</v>
      </c>
      <c r="AE41" s="28"/>
      <c r="AF41" s="25" t="s">
        <v>121</v>
      </c>
      <c r="AG41" s="49">
        <f>AD41</f>
        <v>10</v>
      </c>
      <c r="AJ41" s="17" t="s">
        <v>182</v>
      </c>
    </row>
    <row r="42" spans="3:37" x14ac:dyDescent="0.2">
      <c r="E42" s="25" t="str">
        <f>"P(&gt;"&amp;F28&amp;")"</f>
        <v>P(&gt;0)</v>
      </c>
      <c r="F42" s="31">
        <f>1-F40</f>
        <v>0.53333333333333333</v>
      </c>
      <c r="H42" s="25" t="str">
        <f>"P(&gt;"&amp;I28&amp;")"</f>
        <v>P(&gt;1)</v>
      </c>
      <c r="I42" s="31">
        <f>1-I40</f>
        <v>6.6666666666666652E-2</v>
      </c>
      <c r="AB42" s="19" t="s">
        <v>123</v>
      </c>
      <c r="AC42" s="25" t="s">
        <v>122</v>
      </c>
      <c r="AD42" s="39">
        <v>3</v>
      </c>
      <c r="AE42" s="28"/>
      <c r="AF42" s="25" t="s">
        <v>122</v>
      </c>
      <c r="AG42" s="49">
        <f>AD42</f>
        <v>3</v>
      </c>
      <c r="AK42" s="12">
        <f>AD52</f>
        <v>0.52500000000000002</v>
      </c>
    </row>
    <row r="43" spans="3:37" x14ac:dyDescent="0.2">
      <c r="AB43" s="19" t="s">
        <v>125</v>
      </c>
      <c r="AC43" s="25" t="s">
        <v>3</v>
      </c>
      <c r="AD43" s="39">
        <v>1</v>
      </c>
      <c r="AE43" s="29"/>
      <c r="AF43" s="25" t="s">
        <v>3</v>
      </c>
      <c r="AG43" s="39">
        <f>AD43+1</f>
        <v>2</v>
      </c>
    </row>
    <row r="44" spans="3:37" x14ac:dyDescent="0.2">
      <c r="F44" s="25" t="str">
        <f>"P("&amp;F28&amp;"or"&amp;I28&amp;")"</f>
        <v>P(0or1)</v>
      </c>
      <c r="G44" s="31">
        <f>SUM(F38,I38)</f>
        <v>0.93333333333333324</v>
      </c>
      <c r="AB44" s="19" t="s">
        <v>126</v>
      </c>
      <c r="AC44" s="25" t="s">
        <v>43</v>
      </c>
      <c r="AD44" s="43">
        <v>3</v>
      </c>
      <c r="AE44" s="20"/>
      <c r="AF44" s="25" t="s">
        <v>43</v>
      </c>
      <c r="AG44" s="48">
        <f>AD44</f>
        <v>3</v>
      </c>
      <c r="AJ44" s="17" t="s">
        <v>183</v>
      </c>
    </row>
    <row r="45" spans="3:37" x14ac:dyDescent="0.2">
      <c r="F45" s="25" t="str">
        <f>"P("&amp;F28&amp;"thru"&amp;I28&amp;")"</f>
        <v>P(0thru1)</v>
      </c>
      <c r="G45" s="31">
        <f>1-F39-I42</f>
        <v>0.93333333333333335</v>
      </c>
      <c r="AB45" s="17"/>
      <c r="AE45" s="20"/>
      <c r="AK45" s="12">
        <f>AD56</f>
        <v>0.70833333333333337</v>
      </c>
    </row>
    <row r="46" spans="3:37" x14ac:dyDescent="0.2">
      <c r="AB46" s="19"/>
      <c r="AC46" s="25" t="s">
        <v>131</v>
      </c>
      <c r="AD46" s="24">
        <f>AD41-AD42</f>
        <v>7</v>
      </c>
      <c r="AE46" s="27"/>
      <c r="AF46" s="25" t="s">
        <v>131</v>
      </c>
      <c r="AG46" s="24">
        <f>AG41-AG42</f>
        <v>7</v>
      </c>
    </row>
    <row r="47" spans="3:37" x14ac:dyDescent="0.2">
      <c r="AB47" s="19"/>
      <c r="AC47" s="25" t="s">
        <v>130</v>
      </c>
      <c r="AD47" s="24">
        <f>AD44-AD43</f>
        <v>2</v>
      </c>
      <c r="AE47" s="27"/>
      <c r="AF47" s="25" t="s">
        <v>130</v>
      </c>
      <c r="AG47" s="24">
        <f>AG44-AG43</f>
        <v>1</v>
      </c>
    </row>
    <row r="48" spans="3:37" x14ac:dyDescent="0.2">
      <c r="D48" s="19"/>
      <c r="E48" s="25"/>
      <c r="F48" s="27"/>
      <c r="AB48" s="19"/>
      <c r="AE48" s="30"/>
    </row>
    <row r="49" spans="4:42" x14ac:dyDescent="0.2">
      <c r="D49" s="19"/>
      <c r="E49" s="25"/>
      <c r="F49" s="27"/>
      <c r="AC49" s="25" t="s">
        <v>127</v>
      </c>
      <c r="AD49" s="20">
        <f>FACT(AD42) / (FACT(AD42-AD43)*FACT(AD43))</f>
        <v>3</v>
      </c>
      <c r="AE49" s="20"/>
      <c r="AF49" s="25" t="s">
        <v>127</v>
      </c>
      <c r="AG49" s="20">
        <f>FACT(AG42) / (FACT(AG42-AG43)*FACT(AG43))</f>
        <v>3</v>
      </c>
    </row>
    <row r="50" spans="4:42" x14ac:dyDescent="0.2">
      <c r="D50" s="19"/>
      <c r="E50" s="25"/>
      <c r="F50" s="30"/>
      <c r="AC50" s="25" t="s">
        <v>128</v>
      </c>
      <c r="AD50" s="20">
        <f>FACT(AD46) / (FACT(AD46-AD47)*FACT(AD47))</f>
        <v>21</v>
      </c>
      <c r="AE50" s="29"/>
      <c r="AF50" s="25" t="s">
        <v>128</v>
      </c>
      <c r="AG50" s="20">
        <f>FACT(AG46) / (FACT(AG46-AG47)*FACT(AG47))</f>
        <v>7</v>
      </c>
      <c r="AL50" s="20"/>
      <c r="AM50" s="20"/>
      <c r="AP50" s="27"/>
    </row>
    <row r="51" spans="4:42" x14ac:dyDescent="0.2">
      <c r="AC51" s="25" t="s">
        <v>129</v>
      </c>
      <c r="AD51" s="28">
        <f>FACT(AD41) / (FACT(AD41-AD44)*FACT(AD44))</f>
        <v>120</v>
      </c>
      <c r="AE51" s="28"/>
      <c r="AF51" s="25" t="s">
        <v>129</v>
      </c>
      <c r="AG51" s="28">
        <f>FACT(AG41) / (FACT(AG41-AG44)*FACT(AG44))</f>
        <v>120</v>
      </c>
      <c r="AK51" s="25"/>
      <c r="AL51" s="28"/>
      <c r="AM51" s="28"/>
    </row>
    <row r="52" spans="4:42" x14ac:dyDescent="0.2">
      <c r="AA52" s="5"/>
      <c r="AC52" s="25" t="str">
        <f>"P("&amp;AD43&amp;")"</f>
        <v>P(1)</v>
      </c>
      <c r="AD52" s="31">
        <f>AD49*AD50/AD51</f>
        <v>0.52500000000000002</v>
      </c>
      <c r="AE52" s="31"/>
      <c r="AF52" s="25" t="str">
        <f>"P("&amp;AG43&amp;")"</f>
        <v>P(2)</v>
      </c>
      <c r="AG52" s="31">
        <f>AG49*AG50/AG51</f>
        <v>0.17499999999999999</v>
      </c>
      <c r="AJ52" s="19"/>
      <c r="AK52" s="25"/>
      <c r="AL52" s="28"/>
      <c r="AM52" s="28"/>
    </row>
    <row r="53" spans="4:42" x14ac:dyDescent="0.2">
      <c r="AA53" s="5"/>
      <c r="AC53" s="25" t="str">
        <f>"P("&amp;AD43&amp;")"</f>
        <v>P(1)</v>
      </c>
      <c r="AD53" s="31">
        <f>_xlfn.HYPGEOM.DIST(AD43,AD44,AD42,AD41,FALSE)</f>
        <v>0.52500000000000013</v>
      </c>
      <c r="AF53" s="25" t="str">
        <f>"P("&amp;AG43&amp;")"</f>
        <v>P(2)</v>
      </c>
      <c r="AG53" s="31">
        <f>_xlfn.HYPGEOM.DIST(AG43,AG44,AG42,AG41,FALSE)</f>
        <v>0.17499999999999996</v>
      </c>
      <c r="AH53" s="34" t="s">
        <v>132</v>
      </c>
      <c r="AJ53" s="19"/>
      <c r="AK53" s="25"/>
      <c r="AL53" s="29"/>
      <c r="AM53" s="29"/>
    </row>
    <row r="54" spans="4:42" x14ac:dyDescent="0.2">
      <c r="AA54" s="5"/>
      <c r="AC54" s="25" t="str">
        <f>"P(&lt;"&amp;AD43&amp;")"</f>
        <v>P(&lt;1)</v>
      </c>
      <c r="AD54" s="31">
        <f>IFERROR(_xlfn.HYPGEOM.DIST(AD43-1,AD44,AD42,AD41,TRUE),0)</f>
        <v>0.29166666666666663</v>
      </c>
      <c r="AF54" s="25" t="str">
        <f>"P(&lt;"&amp;AG43&amp;")"</f>
        <v>P(&lt;2)</v>
      </c>
      <c r="AG54" s="31">
        <f>_xlfn.HYPGEOM.DIST(AG43-1,AG44,AG42,AG41,TRUE)</f>
        <v>0.81666666666666665</v>
      </c>
      <c r="AJ54" s="19"/>
      <c r="AK54" s="25"/>
      <c r="AL54" s="20"/>
      <c r="AM54" s="20"/>
    </row>
    <row r="55" spans="4:42" x14ac:dyDescent="0.2">
      <c r="AC55" s="25" t="str">
        <f>"P(&lt;="&amp;AD43&amp;")"</f>
        <v>P(&lt;=1)</v>
      </c>
      <c r="AD55" s="31">
        <f>_xlfn.HYPGEOM.DIST(AD43,AD44,AD42,AD41,TRUE)</f>
        <v>0.81666666666666665</v>
      </c>
      <c r="AE55" s="34"/>
      <c r="AF55" s="25" t="str">
        <f>"P(&lt;="&amp;AG43&amp;")"</f>
        <v>P(&lt;=2)</v>
      </c>
      <c r="AG55" s="31">
        <f>_xlfn.HYPGEOM.DIST(AG43,AG44,AG42,AG41,TRUE)</f>
        <v>0.9916666666666667</v>
      </c>
      <c r="AJ55" s="19"/>
      <c r="AK55" s="25"/>
      <c r="AL55" s="20"/>
      <c r="AM55" s="20"/>
    </row>
    <row r="56" spans="4:42" x14ac:dyDescent="0.2">
      <c r="AC56" s="25" t="str">
        <f>"P(&gt;="&amp;AD43&amp;")"</f>
        <v>P(&gt;=1)</v>
      </c>
      <c r="AD56" s="31">
        <f>1-AD54</f>
        <v>0.70833333333333337</v>
      </c>
      <c r="AF56" s="25" t="str">
        <f>"P(&gt;="&amp;AG43&amp;")"</f>
        <v>P(&gt;=2)</v>
      </c>
      <c r="AG56" s="31">
        <f>1-AG54</f>
        <v>0.18333333333333335</v>
      </c>
      <c r="AJ56" s="17"/>
      <c r="AK56" s="25"/>
      <c r="AL56" s="27"/>
      <c r="AM56" s="27"/>
      <c r="AP56" s="27"/>
    </row>
    <row r="57" spans="4:42" x14ac:dyDescent="0.2">
      <c r="AC57" s="25" t="str">
        <f>"P(&gt;"&amp;AD43&amp;")"</f>
        <v>P(&gt;1)</v>
      </c>
      <c r="AD57" s="31">
        <f>1-AD55</f>
        <v>0.18333333333333335</v>
      </c>
      <c r="AF57" s="25" t="str">
        <f>"P(&gt;"&amp;AG43&amp;")"</f>
        <v>P(&gt;2)</v>
      </c>
      <c r="AG57" s="31">
        <f>1-AG55</f>
        <v>8.3333333333333037E-3</v>
      </c>
      <c r="AJ57" s="17"/>
      <c r="AK57" s="25"/>
      <c r="AL57" s="27"/>
      <c r="AM57" s="27"/>
    </row>
    <row r="58" spans="4:42" x14ac:dyDescent="0.2">
      <c r="AJ58" s="19"/>
      <c r="AK58" s="25"/>
      <c r="AL58" s="30"/>
      <c r="AM58" s="30"/>
    </row>
    <row r="59" spans="4:42" x14ac:dyDescent="0.2">
      <c r="AD59" s="25" t="str">
        <f>"P("&amp;AD43&amp;"or"&amp;AG43&amp;")"</f>
        <v>P(1or2)</v>
      </c>
      <c r="AE59" s="31">
        <f>SUM(AD53,AG53)</f>
        <v>0.70000000000000007</v>
      </c>
      <c r="AJ59" s="19"/>
      <c r="AL59" s="20"/>
      <c r="AM59" s="20"/>
    </row>
    <row r="60" spans="4:42" x14ac:dyDescent="0.2">
      <c r="AD60" s="25" t="str">
        <f>"P("&amp;AD43&amp;"thru"&amp;AG43&amp;")"</f>
        <v>P(1thru2)</v>
      </c>
      <c r="AE60" s="31">
        <f>1-AD54-AG57</f>
        <v>0.70000000000000007</v>
      </c>
      <c r="AJ60" s="19"/>
      <c r="AK60" s="25"/>
      <c r="AL60" s="20"/>
      <c r="AM60" s="20"/>
    </row>
    <row r="61" spans="4:42" x14ac:dyDescent="0.2">
      <c r="AD61" s="25"/>
      <c r="AE61" s="29"/>
      <c r="AK61" s="25"/>
      <c r="AL61" s="29"/>
      <c r="AM61" s="29"/>
    </row>
    <row r="62" spans="4:42" x14ac:dyDescent="0.2">
      <c r="AD62" s="25"/>
      <c r="AE62" s="28"/>
      <c r="AK62" s="25"/>
      <c r="AL62" s="28"/>
      <c r="AM62" s="28"/>
    </row>
    <row r="63" spans="4:42" x14ac:dyDescent="0.2">
      <c r="AD63" s="25"/>
      <c r="AE63" s="31"/>
      <c r="AK63" s="25"/>
      <c r="AL63" s="31"/>
      <c r="AM63" s="31"/>
    </row>
    <row r="64" spans="4:42" x14ac:dyDescent="0.2">
      <c r="AD64" s="25"/>
      <c r="AE64" s="31"/>
      <c r="AK64" s="25"/>
      <c r="AL64" s="31"/>
      <c r="AM64" s="31"/>
    </row>
    <row r="65" spans="25:49" x14ac:dyDescent="0.2">
      <c r="AL65" s="20"/>
      <c r="AM65" s="20"/>
    </row>
    <row r="66" spans="25:49" x14ac:dyDescent="0.2">
      <c r="AK66" s="25"/>
      <c r="AL66" s="31"/>
    </row>
    <row r="67" spans="25:49" x14ac:dyDescent="0.2">
      <c r="AK67" s="25"/>
      <c r="AL67" s="20"/>
      <c r="AM67" s="31"/>
    </row>
    <row r="69" spans="25:49" x14ac:dyDescent="0.2">
      <c r="Y69" s="17"/>
    </row>
    <row r="70" spans="25:49" x14ac:dyDescent="0.2">
      <c r="Z70" s="20"/>
      <c r="AA70" s="20"/>
    </row>
    <row r="71" spans="25:49" x14ac:dyDescent="0.2">
      <c r="Z71" s="20"/>
      <c r="AA71" s="20"/>
    </row>
    <row r="72" spans="25:49" x14ac:dyDescent="0.2">
      <c r="Z72" s="20"/>
      <c r="AA72" s="20"/>
    </row>
    <row r="73" spans="25:49" x14ac:dyDescent="0.2">
      <c r="Z73" s="20"/>
      <c r="AA73" s="20"/>
    </row>
    <row r="74" spans="25:49" x14ac:dyDescent="0.2">
      <c r="Z74" s="20"/>
      <c r="AA74" s="20"/>
    </row>
    <row r="77" spans="25:49" x14ac:dyDescent="0.2">
      <c r="AA77" s="2"/>
      <c r="AL77" s="19"/>
      <c r="AN77" s="20"/>
      <c r="AO77" s="20"/>
      <c r="AT77" s="19"/>
      <c r="AV77" s="20"/>
      <c r="AW77" s="20"/>
    </row>
    <row r="78" spans="25:49" x14ac:dyDescent="0.2">
      <c r="AA78" s="2"/>
      <c r="AL78" s="19"/>
      <c r="AM78" s="25"/>
      <c r="AN78" s="28"/>
      <c r="AO78" s="28"/>
      <c r="AT78" s="19"/>
      <c r="AU78" s="25"/>
      <c r="AV78" s="28"/>
      <c r="AW78" s="28"/>
    </row>
    <row r="79" spans="25:49" x14ac:dyDescent="0.2">
      <c r="AL79" s="19"/>
      <c r="AM79" s="25"/>
      <c r="AN79" s="28"/>
      <c r="AO79" s="28"/>
      <c r="AT79" s="19"/>
      <c r="AU79" s="25"/>
      <c r="AV79" s="28"/>
      <c r="AW79" s="28"/>
    </row>
    <row r="80" spans="25:49" x14ac:dyDescent="0.2">
      <c r="AL80" s="19"/>
      <c r="AM80" s="25"/>
      <c r="AN80" s="29"/>
      <c r="AO80" s="29"/>
      <c r="AT80" s="19"/>
      <c r="AU80" s="25"/>
      <c r="AV80" s="29"/>
      <c r="AW80" s="29"/>
    </row>
    <row r="81" spans="29:49" x14ac:dyDescent="0.2">
      <c r="AC81" s="19"/>
      <c r="AE81" s="20"/>
      <c r="AL81" s="17"/>
      <c r="AM81" s="25"/>
      <c r="AN81" s="20"/>
      <c r="AO81" s="20"/>
      <c r="AT81" s="17"/>
      <c r="AU81" s="25"/>
      <c r="AV81" s="20"/>
      <c r="AW81" s="20"/>
    </row>
    <row r="82" spans="29:49" x14ac:dyDescent="0.2">
      <c r="AC82" s="19"/>
      <c r="AD82" s="25"/>
      <c r="AE82" s="28"/>
      <c r="AL82" s="17"/>
      <c r="AM82" s="25"/>
      <c r="AN82" s="20"/>
      <c r="AO82" s="20"/>
      <c r="AT82" s="17"/>
      <c r="AU82" s="25"/>
      <c r="AV82" s="31"/>
      <c r="AW82" s="32"/>
    </row>
    <row r="83" spans="29:49" x14ac:dyDescent="0.2">
      <c r="AC83" s="19"/>
      <c r="AD83" s="25"/>
      <c r="AE83" s="28"/>
      <c r="AL83" s="19"/>
      <c r="AM83" s="25"/>
      <c r="AN83" s="27"/>
      <c r="AO83" s="27"/>
      <c r="AT83" s="19"/>
      <c r="AW83" s="27"/>
    </row>
    <row r="84" spans="29:49" x14ac:dyDescent="0.2">
      <c r="AC84" s="19"/>
      <c r="AD84" s="25"/>
      <c r="AE84" s="29"/>
      <c r="AL84" s="19"/>
      <c r="AM84" s="25"/>
      <c r="AN84" s="27"/>
      <c r="AO84" s="27"/>
      <c r="AT84" s="19"/>
      <c r="AU84" s="25"/>
      <c r="AV84" s="31"/>
      <c r="AW84" s="33"/>
    </row>
    <row r="85" spans="29:49" x14ac:dyDescent="0.2">
      <c r="AC85" s="17"/>
      <c r="AD85" s="25"/>
      <c r="AE85" s="20"/>
      <c r="AL85" s="19"/>
      <c r="AM85" s="25"/>
      <c r="AN85" s="30"/>
      <c r="AO85" s="30"/>
      <c r="AT85" s="19"/>
      <c r="AV85" s="20"/>
      <c r="AW85" s="30"/>
    </row>
    <row r="86" spans="29:49" x14ac:dyDescent="0.2">
      <c r="AC86" s="17"/>
      <c r="AD86" s="25"/>
      <c r="AE86" s="20"/>
      <c r="AN86" s="20"/>
      <c r="AO86" s="20"/>
      <c r="AV86" s="20"/>
      <c r="AW86" s="20"/>
    </row>
    <row r="87" spans="29:49" x14ac:dyDescent="0.2">
      <c r="AC87" s="19"/>
      <c r="AD87" s="25"/>
      <c r="AE87" s="27"/>
      <c r="AM87" s="25"/>
      <c r="AN87" s="20"/>
      <c r="AO87" s="20"/>
      <c r="AU87" s="25"/>
      <c r="AV87" s="20"/>
      <c r="AW87" s="20"/>
    </row>
    <row r="88" spans="29:49" x14ac:dyDescent="0.2">
      <c r="AC88" s="19"/>
      <c r="AD88" s="25"/>
      <c r="AE88" s="27"/>
      <c r="AM88" s="25"/>
      <c r="AN88" s="29"/>
      <c r="AO88" s="29"/>
      <c r="AU88" s="25"/>
      <c r="AV88" s="29"/>
      <c r="AW88" s="29"/>
    </row>
    <row r="89" spans="29:49" x14ac:dyDescent="0.2">
      <c r="AC89" s="19"/>
      <c r="AD89" s="25"/>
      <c r="AE89" s="30"/>
      <c r="AM89" s="25"/>
      <c r="AN89" s="28"/>
      <c r="AO89" s="28"/>
      <c r="AU89" s="25"/>
      <c r="AV89" s="28"/>
      <c r="AW89" s="28"/>
    </row>
    <row r="90" spans="29:49" x14ac:dyDescent="0.2">
      <c r="AE90" s="20"/>
      <c r="AM90" s="25"/>
      <c r="AN90" s="31"/>
      <c r="AO90" s="31"/>
      <c r="AU90" s="25"/>
      <c r="AV90" s="31"/>
      <c r="AW90" s="31"/>
    </row>
    <row r="91" spans="29:49" x14ac:dyDescent="0.2">
      <c r="AD91" s="25"/>
      <c r="AE91" s="20"/>
      <c r="AM91" s="25"/>
      <c r="AN91" s="31"/>
      <c r="AO91" s="31"/>
      <c r="AW91" s="31"/>
    </row>
    <row r="92" spans="29:49" x14ac:dyDescent="0.2">
      <c r="AD92" s="25"/>
      <c r="AE92" s="29"/>
    </row>
    <row r="93" spans="29:49" x14ac:dyDescent="0.2">
      <c r="AD93" s="25"/>
      <c r="AE93" s="28"/>
      <c r="AM93" s="25"/>
      <c r="AN93" s="31"/>
    </row>
    <row r="94" spans="29:49" x14ac:dyDescent="0.2">
      <c r="AD94" s="25"/>
      <c r="AE94" s="31"/>
    </row>
    <row r="95" spans="29:49" x14ac:dyDescent="0.2">
      <c r="AD95" s="25"/>
      <c r="AE95" s="31"/>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5"/>
      <c r="AE106" s="28"/>
    </row>
    <row r="107" spans="25:31" x14ac:dyDescent="0.2">
      <c r="AC107" s="19"/>
      <c r="AD107" s="25"/>
      <c r="AE107" s="28"/>
    </row>
    <row r="108" spans="25:31" x14ac:dyDescent="0.2">
      <c r="AC108" s="19"/>
      <c r="AD108" s="25"/>
      <c r="AE108" s="29"/>
    </row>
    <row r="109" spans="25:31" x14ac:dyDescent="0.2">
      <c r="AC109" s="17"/>
      <c r="AD109" s="25"/>
      <c r="AE109" s="20"/>
    </row>
    <row r="110" spans="25:31" x14ac:dyDescent="0.2">
      <c r="AC110" s="17"/>
      <c r="AD110" s="25"/>
      <c r="AE110" s="20"/>
    </row>
    <row r="111" spans="25:31" x14ac:dyDescent="0.2">
      <c r="AC111" s="19"/>
      <c r="AD111" s="25"/>
      <c r="AE111" s="27"/>
    </row>
    <row r="112" spans="25:31" x14ac:dyDescent="0.2">
      <c r="AC112" s="19"/>
      <c r="AD112" s="25"/>
      <c r="AE112" s="27"/>
    </row>
    <row r="113" spans="29:31" x14ac:dyDescent="0.2">
      <c r="AC113" s="19"/>
      <c r="AD113" s="25"/>
      <c r="AE113" s="30"/>
    </row>
    <row r="114" spans="29:31" x14ac:dyDescent="0.2">
      <c r="AE114" s="20"/>
    </row>
    <row r="115" spans="29:31" x14ac:dyDescent="0.2">
      <c r="AD115" s="25"/>
      <c r="AE115" s="20"/>
    </row>
    <row r="116" spans="29:31" x14ac:dyDescent="0.2">
      <c r="AD116" s="25"/>
      <c r="AE116" s="29"/>
    </row>
    <row r="117" spans="29:31" x14ac:dyDescent="0.2">
      <c r="AD117" s="25"/>
      <c r="AE117" s="28"/>
    </row>
    <row r="118" spans="29:31" x14ac:dyDescent="0.2">
      <c r="AD118" s="25"/>
      <c r="AE118" s="31"/>
    </row>
    <row r="119" spans="29:31" x14ac:dyDescent="0.2">
      <c r="AD119" s="25"/>
      <c r="AE119" s="3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A66B-8922-4448-8EE0-1E29973D4C5C}">
  <dimension ref="D1:AW119"/>
  <sheetViews>
    <sheetView workbookViewId="0"/>
  </sheetViews>
  <sheetFormatPr defaultRowHeight="12" x14ac:dyDescent="0.2"/>
  <cols>
    <col min="19" max="19" width="9.28515625" customWidth="1"/>
    <col min="30" max="30" width="9.28515625" customWidth="1"/>
  </cols>
  <sheetData>
    <row r="1" spans="14:38" x14ac:dyDescent="0.2">
      <c r="N1" s="17" t="s">
        <v>137</v>
      </c>
      <c r="Y1" s="17"/>
    </row>
    <row r="3" spans="14:38" x14ac:dyDescent="0.2">
      <c r="Q3" t="s">
        <v>138</v>
      </c>
    </row>
    <row r="4" spans="14:38" x14ac:dyDescent="0.2">
      <c r="AC4" s="19"/>
      <c r="AE4" s="20"/>
      <c r="AJ4" s="19"/>
      <c r="AL4" s="20"/>
    </row>
    <row r="5" spans="14:38" x14ac:dyDescent="0.2">
      <c r="Q5" s="19" t="s">
        <v>80</v>
      </c>
      <c r="S5" s="20" t="s">
        <v>147</v>
      </c>
      <c r="T5" s="20"/>
      <c r="Y5" s="19"/>
      <c r="AC5" s="19"/>
      <c r="AD5" s="25"/>
      <c r="AE5" s="28"/>
      <c r="AJ5" s="19"/>
      <c r="AK5" s="25"/>
      <c r="AL5" s="28"/>
    </row>
    <row r="6" spans="14:38" x14ac:dyDescent="0.2">
      <c r="Q6" s="19" t="s">
        <v>141</v>
      </c>
      <c r="R6" s="25" t="s">
        <v>140</v>
      </c>
      <c r="S6" s="31">
        <v>2.71828</v>
      </c>
      <c r="T6" s="28"/>
      <c r="Y6" s="19"/>
      <c r="Z6" s="25"/>
      <c r="AC6" s="19"/>
      <c r="AD6" s="25"/>
      <c r="AE6" s="28"/>
      <c r="AJ6" s="19"/>
      <c r="AK6" s="25"/>
      <c r="AL6" s="28"/>
    </row>
    <row r="7" spans="14:38" x14ac:dyDescent="0.2">
      <c r="Q7" s="19" t="s">
        <v>146</v>
      </c>
      <c r="R7" s="25" t="s">
        <v>43</v>
      </c>
      <c r="S7" s="37">
        <v>40</v>
      </c>
      <c r="T7" s="28"/>
      <c r="Y7" s="19"/>
      <c r="Z7" s="25"/>
      <c r="AC7" s="19"/>
      <c r="AD7" s="25"/>
      <c r="AE7" s="29"/>
      <c r="AJ7" s="19"/>
      <c r="AK7" s="25"/>
      <c r="AL7" s="29"/>
    </row>
    <row r="8" spans="14:38" x14ac:dyDescent="0.2">
      <c r="Q8" s="19" t="s">
        <v>142</v>
      </c>
      <c r="R8" s="25" t="s">
        <v>3</v>
      </c>
      <c r="S8" s="37">
        <v>3</v>
      </c>
      <c r="Y8" s="19"/>
      <c r="Z8" s="25"/>
      <c r="AC8" s="17"/>
      <c r="AD8" s="25"/>
      <c r="AE8" s="20"/>
      <c r="AJ8" s="17"/>
      <c r="AK8" s="25"/>
      <c r="AL8" s="20"/>
    </row>
    <row r="9" spans="14:38" x14ac:dyDescent="0.2">
      <c r="Q9" s="19" t="s">
        <v>79</v>
      </c>
      <c r="R9" s="25" t="s">
        <v>76</v>
      </c>
      <c r="S9" s="38">
        <v>2.5000000000000001E-2</v>
      </c>
      <c r="T9" s="29"/>
      <c r="Y9" s="17"/>
      <c r="Z9" s="25"/>
      <c r="AC9" s="17"/>
      <c r="AD9" s="25"/>
      <c r="AE9" s="20"/>
      <c r="AJ9" s="17"/>
      <c r="AK9" s="25"/>
      <c r="AL9" s="20"/>
    </row>
    <row r="10" spans="14:38" x14ac:dyDescent="0.2">
      <c r="Q10" s="19" t="s">
        <v>41</v>
      </c>
      <c r="R10" s="25" t="s">
        <v>4</v>
      </c>
      <c r="S10" s="28">
        <f>S7*S9</f>
        <v>1</v>
      </c>
      <c r="T10" s="20"/>
      <c r="Y10" s="17"/>
      <c r="Z10" s="25"/>
      <c r="AC10" s="19"/>
      <c r="AD10" s="25"/>
      <c r="AE10" s="27"/>
      <c r="AJ10" s="19"/>
      <c r="AK10" s="25"/>
      <c r="AL10" s="27"/>
    </row>
    <row r="11" spans="14:38" x14ac:dyDescent="0.2">
      <c r="Q11" s="17"/>
      <c r="T11" s="20"/>
      <c r="Y11" s="19"/>
      <c r="Z11" s="25"/>
      <c r="AC11" s="19"/>
      <c r="AD11" s="25"/>
      <c r="AE11" s="27"/>
      <c r="AJ11" s="19"/>
      <c r="AK11" s="25"/>
      <c r="AL11" s="27"/>
    </row>
    <row r="12" spans="14:38" x14ac:dyDescent="0.2">
      <c r="R12" s="25" t="s">
        <v>143</v>
      </c>
      <c r="S12" s="24">
        <f>S10^S8</f>
        <v>1</v>
      </c>
      <c r="T12" s="27"/>
      <c r="Y12" s="19"/>
      <c r="Z12" s="25"/>
      <c r="AC12" s="19"/>
      <c r="AD12" s="25"/>
      <c r="AE12" s="30"/>
      <c r="AJ12" s="19"/>
      <c r="AK12" s="25"/>
      <c r="AL12" s="30"/>
    </row>
    <row r="13" spans="14:38" x14ac:dyDescent="0.2">
      <c r="Q13" s="19"/>
      <c r="R13" s="25" t="s">
        <v>144</v>
      </c>
      <c r="S13" s="24">
        <f>S6^(-S10)</f>
        <v>0.36787968862663156</v>
      </c>
      <c r="T13" s="27"/>
      <c r="Y13" s="19"/>
      <c r="Z13" s="25"/>
      <c r="AA13" s="30"/>
      <c r="AE13" s="20"/>
      <c r="AL13" s="20"/>
    </row>
    <row r="14" spans="14:38" x14ac:dyDescent="0.2">
      <c r="Q14" s="19"/>
      <c r="R14" s="25" t="s">
        <v>145</v>
      </c>
      <c r="S14">
        <f>FACT(S8)</f>
        <v>6</v>
      </c>
      <c r="T14" s="30"/>
      <c r="AA14" s="20"/>
      <c r="AD14" s="25"/>
      <c r="AE14" s="20"/>
      <c r="AK14" s="25"/>
      <c r="AL14" s="20"/>
    </row>
    <row r="15" spans="14:38" x14ac:dyDescent="0.2">
      <c r="R15" s="25"/>
      <c r="S15" s="20"/>
      <c r="T15" s="20"/>
      <c r="Z15" s="25"/>
      <c r="AA15" s="20"/>
      <c r="AD15" s="25"/>
      <c r="AE15" s="29"/>
      <c r="AK15" s="25"/>
      <c r="AL15" s="29"/>
    </row>
    <row r="16" spans="14:38" x14ac:dyDescent="0.2">
      <c r="R16" s="35" t="s">
        <v>149</v>
      </c>
      <c r="S16" s="36">
        <f>(S12*S13)/S14</f>
        <v>6.1313281437771927E-2</v>
      </c>
      <c r="T16" s="31"/>
      <c r="Z16" s="25"/>
      <c r="AA16" s="29"/>
      <c r="AD16" s="25"/>
      <c r="AE16" s="28"/>
      <c r="AK16" s="25"/>
      <c r="AL16" s="28"/>
    </row>
    <row r="17" spans="14:38" x14ac:dyDescent="0.2">
      <c r="R17" s="35" t="s">
        <v>149</v>
      </c>
      <c r="S17" s="36">
        <f>_xlfn.POISSON.DIST(S8,S10,FALSE)</f>
        <v>6.1313240195240391E-2</v>
      </c>
      <c r="T17" s="34" t="s">
        <v>148</v>
      </c>
      <c r="Z17" s="25"/>
      <c r="AA17" s="28"/>
      <c r="AD17" s="25"/>
      <c r="AE17" s="31"/>
      <c r="AK17" s="25"/>
      <c r="AL17" s="31"/>
    </row>
    <row r="18" spans="14:38" x14ac:dyDescent="0.2">
      <c r="Z18" s="25"/>
      <c r="AA18" s="31"/>
      <c r="AD18" s="25"/>
      <c r="AE18" s="31"/>
      <c r="AK18" s="25"/>
      <c r="AL18" s="31"/>
    </row>
    <row r="19" spans="14:38" x14ac:dyDescent="0.2">
      <c r="Q19" t="s">
        <v>139</v>
      </c>
      <c r="Z19" s="25"/>
      <c r="AA19" s="31"/>
    </row>
    <row r="21" spans="14:38" x14ac:dyDescent="0.2">
      <c r="R21" s="5" t="s">
        <v>151</v>
      </c>
      <c r="S21" s="12">
        <f>_xlfn.POISSON.DIST(S8-1,S10,TRUE)</f>
        <v>0.91969860292860584</v>
      </c>
    </row>
    <row r="22" spans="14:38" x14ac:dyDescent="0.2">
      <c r="R22" s="19" t="s">
        <v>150</v>
      </c>
      <c r="S22" s="22">
        <f>1-S21</f>
        <v>8.0301397071394165E-2</v>
      </c>
    </row>
    <row r="23" spans="14:38" x14ac:dyDescent="0.2">
      <c r="AC23" s="19"/>
      <c r="AE23" s="20"/>
    </row>
    <row r="24" spans="14:38" x14ac:dyDescent="0.2">
      <c r="N24" s="17" t="s">
        <v>152</v>
      </c>
      <c r="AC24" s="19"/>
      <c r="AD24" s="25"/>
      <c r="AE24" s="28"/>
    </row>
    <row r="25" spans="14:38" x14ac:dyDescent="0.2">
      <c r="AC25" s="19"/>
      <c r="AD25" s="25"/>
      <c r="AE25" s="28"/>
    </row>
    <row r="26" spans="14:38" x14ac:dyDescent="0.2">
      <c r="Q26" s="19" t="s">
        <v>80</v>
      </c>
      <c r="S26" s="43" t="s">
        <v>153</v>
      </c>
      <c r="V26" s="19"/>
      <c r="AC26" s="19"/>
      <c r="AD26" s="25"/>
      <c r="AE26" s="29"/>
    </row>
    <row r="27" spans="14:38" x14ac:dyDescent="0.2">
      <c r="Q27" s="19" t="s">
        <v>146</v>
      </c>
      <c r="R27" s="25" t="s">
        <v>43</v>
      </c>
      <c r="S27" s="39">
        <v>1200</v>
      </c>
      <c r="V27" s="19"/>
      <c r="W27" s="25"/>
      <c r="AC27" s="17"/>
      <c r="AD27" s="25"/>
      <c r="AE27" s="20"/>
    </row>
    <row r="28" spans="14:38" x14ac:dyDescent="0.2">
      <c r="Q28" s="19" t="s">
        <v>142</v>
      </c>
      <c r="R28" s="25" t="s">
        <v>3</v>
      </c>
      <c r="S28" s="39">
        <v>5</v>
      </c>
      <c r="V28" s="19"/>
      <c r="W28" s="25"/>
      <c r="AC28" s="17"/>
      <c r="AD28" s="25"/>
      <c r="AE28" s="20"/>
    </row>
    <row r="29" spans="14:38" x14ac:dyDescent="0.2">
      <c r="Q29" s="19" t="s">
        <v>79</v>
      </c>
      <c r="R29" s="25" t="s">
        <v>76</v>
      </c>
      <c r="S29" s="47">
        <v>5.0000000000000001E-3</v>
      </c>
      <c r="V29" s="19"/>
      <c r="W29" s="25"/>
      <c r="AC29" s="19"/>
      <c r="AD29" s="25"/>
      <c r="AE29" s="27"/>
    </row>
    <row r="30" spans="14:38" x14ac:dyDescent="0.2">
      <c r="Q30" s="19" t="s">
        <v>141</v>
      </c>
      <c r="R30" s="25" t="s">
        <v>140</v>
      </c>
      <c r="S30" s="31">
        <v>2.71828</v>
      </c>
      <c r="V30" s="17"/>
      <c r="W30" s="25"/>
      <c r="AC30" s="19"/>
      <c r="AD30" s="25"/>
      <c r="AE30" s="27"/>
    </row>
    <row r="31" spans="14:38" x14ac:dyDescent="0.2">
      <c r="Q31" s="19" t="s">
        <v>41</v>
      </c>
      <c r="R31" s="25" t="s">
        <v>4</v>
      </c>
      <c r="S31" s="27">
        <f>S27*S29</f>
        <v>6</v>
      </c>
      <c r="V31" s="19"/>
      <c r="W31" s="25"/>
      <c r="AC31" s="19"/>
      <c r="AD31" s="25"/>
      <c r="AE31" s="30"/>
    </row>
    <row r="32" spans="14:38" x14ac:dyDescent="0.2">
      <c r="Q32" s="19" t="s">
        <v>83</v>
      </c>
      <c r="R32" s="25" t="s">
        <v>85</v>
      </c>
      <c r="S32" s="27">
        <f>S31</f>
        <v>6</v>
      </c>
      <c r="V32" s="19"/>
      <c r="W32" s="25"/>
      <c r="AE32" s="20"/>
    </row>
    <row r="33" spans="4:31" x14ac:dyDescent="0.2">
      <c r="D33" s="19" t="s">
        <v>80</v>
      </c>
      <c r="F33" s="43" t="s">
        <v>153</v>
      </c>
      <c r="I33" s="43" t="str">
        <f>F33</f>
        <v>received a busy signal</v>
      </c>
      <c r="Q33" s="19" t="s">
        <v>84</v>
      </c>
      <c r="R33" s="25" t="s">
        <v>5</v>
      </c>
      <c r="S33" s="30">
        <f>SQRT(S32)</f>
        <v>2.4494897427831779</v>
      </c>
      <c r="V33" s="19"/>
      <c r="W33" s="25"/>
      <c r="AD33" s="25"/>
      <c r="AE33" s="20"/>
    </row>
    <row r="34" spans="4:31" x14ac:dyDescent="0.2">
      <c r="D34" s="19" t="s">
        <v>146</v>
      </c>
      <c r="E34" s="25" t="s">
        <v>43</v>
      </c>
      <c r="F34" s="39">
        <v>1200</v>
      </c>
      <c r="H34" s="25" t="s">
        <v>43</v>
      </c>
      <c r="I34" s="37">
        <f>F34</f>
        <v>1200</v>
      </c>
      <c r="AD34" s="25"/>
      <c r="AE34" s="29"/>
    </row>
    <row r="35" spans="4:31" x14ac:dyDescent="0.2">
      <c r="D35" s="19" t="s">
        <v>142</v>
      </c>
      <c r="E35" s="25" t="s">
        <v>3</v>
      </c>
      <c r="F35" s="39">
        <v>5</v>
      </c>
      <c r="H35" s="25" t="s">
        <v>3</v>
      </c>
      <c r="I35" s="37">
        <f>F35+1</f>
        <v>6</v>
      </c>
      <c r="Q35" s="19"/>
      <c r="AD35" s="25"/>
      <c r="AE35" s="28"/>
    </row>
    <row r="36" spans="4:31" x14ac:dyDescent="0.2">
      <c r="D36" s="19" t="s">
        <v>79</v>
      </c>
      <c r="E36" s="25" t="s">
        <v>76</v>
      </c>
      <c r="F36" s="47">
        <v>5.0000000000000001E-3</v>
      </c>
      <c r="H36" s="25" t="s">
        <v>76</v>
      </c>
      <c r="I36" s="38">
        <f>F36</f>
        <v>5.0000000000000001E-3</v>
      </c>
      <c r="R36" s="25" t="s">
        <v>143</v>
      </c>
      <c r="S36" s="2">
        <f>S31^S28</f>
        <v>7776</v>
      </c>
      <c r="W36" s="25"/>
      <c r="X36" s="20"/>
      <c r="AD36" s="25"/>
      <c r="AE36" s="31"/>
    </row>
    <row r="37" spans="4:31" x14ac:dyDescent="0.2">
      <c r="D37" s="19" t="s">
        <v>141</v>
      </c>
      <c r="E37" s="25" t="s">
        <v>140</v>
      </c>
      <c r="F37" s="31">
        <v>2.71828</v>
      </c>
      <c r="H37" s="25" t="s">
        <v>140</v>
      </c>
      <c r="I37" s="31">
        <v>2.71828</v>
      </c>
      <c r="R37" s="25" t="s">
        <v>144</v>
      </c>
      <c r="S37" s="2">
        <f>S30^(-S31)</f>
        <v>2.4787621807228792E-3</v>
      </c>
      <c r="W37" s="25"/>
      <c r="X37" s="29"/>
      <c r="AD37" s="25"/>
      <c r="AE37" s="31"/>
    </row>
    <row r="38" spans="4:31" x14ac:dyDescent="0.2">
      <c r="D38" s="19" t="s">
        <v>41</v>
      </c>
      <c r="E38" s="25" t="s">
        <v>4</v>
      </c>
      <c r="F38" s="28">
        <f>F34*F36</f>
        <v>6</v>
      </c>
      <c r="H38" s="25" t="s">
        <v>4</v>
      </c>
      <c r="I38" s="28">
        <f>I34*I36</f>
        <v>6</v>
      </c>
      <c r="R38" s="25" t="s">
        <v>145</v>
      </c>
      <c r="S38" s="2">
        <f>FACT(S28)</f>
        <v>120</v>
      </c>
      <c r="W38" s="25"/>
      <c r="X38" s="28"/>
    </row>
    <row r="39" spans="4:31" x14ac:dyDescent="0.2">
      <c r="D39" s="17"/>
      <c r="R39" s="25"/>
      <c r="S39" s="20"/>
      <c r="W39" s="25"/>
      <c r="X39" s="31"/>
    </row>
    <row r="40" spans="4:31" x14ac:dyDescent="0.2">
      <c r="E40" s="25" t="s">
        <v>143</v>
      </c>
      <c r="F40" s="24">
        <f>F38^F35</f>
        <v>7776</v>
      </c>
      <c r="H40" s="25" t="s">
        <v>143</v>
      </c>
      <c r="I40" s="24">
        <f>I38^I35</f>
        <v>46656</v>
      </c>
      <c r="R40" s="25" t="str">
        <f>"P("&amp;S28&amp;")"</f>
        <v>P(5)</v>
      </c>
      <c r="S40" s="31">
        <f>(S36*S37)/S38</f>
        <v>0.16062378931084256</v>
      </c>
      <c r="W40" s="25"/>
      <c r="X40" s="31"/>
      <c r="Y40" s="17"/>
    </row>
    <row r="41" spans="4:31" x14ac:dyDescent="0.2">
      <c r="D41" s="19"/>
      <c r="E41" s="25" t="s">
        <v>144</v>
      </c>
      <c r="F41" s="24">
        <f>F37^(-F38)</f>
        <v>2.4787621807228792E-3</v>
      </c>
      <c r="H41" s="25" t="s">
        <v>144</v>
      </c>
      <c r="I41" s="24">
        <f>I37^(-I38)</f>
        <v>2.4787621807228792E-3</v>
      </c>
      <c r="R41" s="25" t="str">
        <f>"P("&amp;S28&amp;")"</f>
        <v>P(5)</v>
      </c>
      <c r="S41" s="31">
        <f>_xlfn.POISSON.DIST(S28,S31,FALSE)</f>
        <v>0.16062314104798003</v>
      </c>
      <c r="T41" s="32" t="s">
        <v>170</v>
      </c>
    </row>
    <row r="42" spans="4:31" x14ac:dyDescent="0.2">
      <c r="D42" s="19"/>
      <c r="E42" s="25" t="s">
        <v>145</v>
      </c>
      <c r="F42">
        <f>FACT(F35)</f>
        <v>120</v>
      </c>
      <c r="H42" s="25" t="s">
        <v>145</v>
      </c>
      <c r="I42">
        <f>FACT(I35)</f>
        <v>720</v>
      </c>
      <c r="Z42" s="26"/>
    </row>
    <row r="43" spans="4:31" x14ac:dyDescent="0.2">
      <c r="E43" s="35" t="str">
        <f>"P("&amp;F35&amp;")"</f>
        <v>P(5)</v>
      </c>
      <c r="F43" s="36">
        <f>(F40*F41)/F42</f>
        <v>0.16062378931084256</v>
      </c>
      <c r="G43" s="32"/>
      <c r="H43" s="35" t="str">
        <f>"P("&amp;I35&amp;")"</f>
        <v>P(6)</v>
      </c>
      <c r="I43" s="36">
        <f>(I40*I41)/I42</f>
        <v>0.16062378931084256</v>
      </c>
      <c r="N43" s="17"/>
      <c r="R43" s="25" t="str">
        <f>"P(&lt;"&amp;S28&amp;")"</f>
        <v>P(&lt;5)</v>
      </c>
      <c r="S43" s="12">
        <f>_xlfn.POISSON.DIST(S28-1,S31,TRUE)</f>
        <v>0.28505650031663121</v>
      </c>
      <c r="Z43" s="20"/>
      <c r="AA43" s="20"/>
    </row>
    <row r="44" spans="4:31" x14ac:dyDescent="0.2">
      <c r="R44" s="35" t="str">
        <f>"P(&gt;="&amp;S28&amp;")"</f>
        <v>P(&gt;=5)</v>
      </c>
      <c r="S44" s="22">
        <f>1-S43</f>
        <v>0.71494349968336879</v>
      </c>
      <c r="Z44" s="20"/>
      <c r="AA44" s="20"/>
    </row>
    <row r="45" spans="4:31" x14ac:dyDescent="0.2">
      <c r="E45" s="35" t="str">
        <f>"P(&lt;"&amp;F35&amp;")"</f>
        <v>P(&lt;5)</v>
      </c>
      <c r="F45" s="36">
        <f>_xlfn.POISSON.DIST(F35-1,F38,TRUE)</f>
        <v>0.28505650031663121</v>
      </c>
      <c r="G45" s="32"/>
      <c r="H45" s="35" t="str">
        <f>"P(&lt;"&amp;I35&amp;")"</f>
        <v>P(&lt;6)</v>
      </c>
      <c r="I45" s="36">
        <f>_xlfn.POISSON.DIST(I35-1,I38,TRUE)</f>
        <v>0.44567964136461113</v>
      </c>
      <c r="Q45" s="19"/>
      <c r="Z45" s="20"/>
      <c r="AA45" s="20"/>
      <c r="AB45" s="41"/>
    </row>
    <row r="46" spans="4:31" x14ac:dyDescent="0.2">
      <c r="E46" s="35" t="str">
        <f>"P(&lt;="&amp;F35&amp;")"</f>
        <v>P(&lt;=5)</v>
      </c>
      <c r="F46" s="36">
        <f>_xlfn.POISSON.DIST(F35,F38,TRUE)</f>
        <v>0.44567964136461113</v>
      </c>
      <c r="G46" s="32"/>
      <c r="H46" s="35" t="str">
        <f>"P(&lt;="&amp;I35&amp;")"</f>
        <v>P(&lt;=6)</v>
      </c>
      <c r="I46" s="36">
        <f>_xlfn.POISSON.DIST(I35,I38,TRUE)</f>
        <v>0.60630278241259128</v>
      </c>
      <c r="N46" s="17" t="s">
        <v>187</v>
      </c>
      <c r="Q46" s="19"/>
      <c r="R46" s="25"/>
      <c r="S46" s="20"/>
      <c r="Z46" s="20"/>
      <c r="AA46" s="20"/>
      <c r="AB46" s="22"/>
    </row>
    <row r="47" spans="4:31" x14ac:dyDescent="0.2">
      <c r="E47" s="35" t="str">
        <f>"P("&amp;F35&amp;")"</f>
        <v>P(5)</v>
      </c>
      <c r="F47" s="36">
        <f>_xlfn.POISSON.DIST(F35,F38,FALSE)</f>
        <v>0.16062314104798003</v>
      </c>
      <c r="G47" s="32"/>
      <c r="H47" s="35" t="str">
        <f>"P("&amp;I35&amp;")"</f>
        <v>P(6)</v>
      </c>
      <c r="I47" s="36">
        <f>_xlfn.POISSON.DIST(I35,I38,FALSE)</f>
        <v>0.16062314104798003</v>
      </c>
      <c r="Q47" s="19"/>
      <c r="R47" s="25"/>
      <c r="S47" s="20"/>
      <c r="Z47" s="20"/>
      <c r="AA47" s="20"/>
      <c r="AB47" s="22"/>
    </row>
    <row r="48" spans="4:31" x14ac:dyDescent="0.2">
      <c r="E48" s="35" t="str">
        <f>"P(&gt;="&amp;F35&amp;")"</f>
        <v>P(&gt;=5)</v>
      </c>
      <c r="F48" s="36">
        <f>1-F45</f>
        <v>0.71494349968336879</v>
      </c>
      <c r="H48" s="35" t="str">
        <f>"P(&gt;="&amp;I35&amp;")"</f>
        <v>P(&gt;=6)</v>
      </c>
      <c r="I48" s="36">
        <f>1-I45</f>
        <v>0.55432035863538887</v>
      </c>
      <c r="Q48" s="19" t="s">
        <v>80</v>
      </c>
      <c r="S48" s="43" t="s">
        <v>191</v>
      </c>
      <c r="V48" s="43" t="str">
        <f>S48</f>
        <v>motor verhicle theft</v>
      </c>
      <c r="Y48" s="43" t="s">
        <v>191</v>
      </c>
      <c r="Z48" t="s">
        <v>188</v>
      </c>
    </row>
    <row r="49" spans="5:42" x14ac:dyDescent="0.2">
      <c r="E49" s="35" t="str">
        <f>"P(&gt;"&amp;F35&amp;")"</f>
        <v>P(&gt;5)</v>
      </c>
      <c r="F49" s="36">
        <f>1-F46</f>
        <v>0.55432035863538887</v>
      </c>
      <c r="H49" s="35" t="str">
        <f>"P(&gt;"&amp;I35&amp;")"</f>
        <v>P(&gt;6)</v>
      </c>
      <c r="I49" s="36">
        <f>1-I46</f>
        <v>0.39369721758740872</v>
      </c>
      <c r="Q49" s="19" t="s">
        <v>146</v>
      </c>
      <c r="R49" s="25" t="s">
        <v>43</v>
      </c>
      <c r="S49" s="39">
        <v>60</v>
      </c>
      <c r="U49" s="25" t="s">
        <v>43</v>
      </c>
      <c r="V49" s="37">
        <f>S49</f>
        <v>60</v>
      </c>
      <c r="X49" s="25" t="s">
        <v>43</v>
      </c>
      <c r="Y49" s="39">
        <v>60</v>
      </c>
      <c r="AA49" s="12">
        <f>S62</f>
        <v>0.17334951851542044</v>
      </c>
    </row>
    <row r="50" spans="5:42" x14ac:dyDescent="0.2">
      <c r="Q50" s="19" t="s">
        <v>142</v>
      </c>
      <c r="R50" s="25" t="s">
        <v>3</v>
      </c>
      <c r="S50" s="39">
        <v>4</v>
      </c>
      <c r="U50" s="25" t="s">
        <v>3</v>
      </c>
      <c r="V50" s="37">
        <v>0</v>
      </c>
      <c r="X50" s="25" t="s">
        <v>3</v>
      </c>
      <c r="Y50" s="39">
        <v>1</v>
      </c>
      <c r="Z50" t="s">
        <v>189</v>
      </c>
      <c r="AC50" s="19"/>
      <c r="AE50" s="20"/>
      <c r="AJ50" s="19"/>
      <c r="AL50" s="20"/>
      <c r="AM50" s="20"/>
      <c r="AP50" s="27"/>
    </row>
    <row r="51" spans="5:42" x14ac:dyDescent="0.2">
      <c r="F51" s="25" t="str">
        <f>"P("&amp;F35&amp;"or"&amp;I35&amp;")"</f>
        <v>P(5or6)</v>
      </c>
      <c r="G51" s="31">
        <f>SUM(F47,I47)</f>
        <v>0.32124628209596007</v>
      </c>
      <c r="Q51" s="19" t="s">
        <v>79</v>
      </c>
      <c r="R51" s="25" t="s">
        <v>76</v>
      </c>
      <c r="S51" s="47">
        <f>3.1/60</f>
        <v>5.1666666666666666E-2</v>
      </c>
      <c r="U51" s="25" t="s">
        <v>76</v>
      </c>
      <c r="V51" s="38">
        <f>S51</f>
        <v>5.1666666666666666E-2</v>
      </c>
      <c r="X51" s="25" t="s">
        <v>76</v>
      </c>
      <c r="Y51" s="47">
        <f>3.1/60</f>
        <v>5.1666666666666666E-2</v>
      </c>
      <c r="AA51" s="12">
        <f>V62</f>
        <v>4.5049202393557801E-2</v>
      </c>
      <c r="AC51" s="19"/>
      <c r="AD51" s="25"/>
      <c r="AE51" s="28"/>
      <c r="AJ51" s="19"/>
      <c r="AK51" s="25"/>
      <c r="AL51" s="28"/>
      <c r="AM51" s="28"/>
    </row>
    <row r="52" spans="5:42" x14ac:dyDescent="0.2">
      <c r="F52" s="25" t="str">
        <f>"P("&amp;F35&amp;"thru"&amp;I35&amp;")"</f>
        <v>P(5thru6)</v>
      </c>
      <c r="G52" s="31">
        <f>1-F45-I49</f>
        <v>0.32124628209596007</v>
      </c>
      <c r="Q52" s="19" t="s">
        <v>141</v>
      </c>
      <c r="R52" s="25" t="s">
        <v>140</v>
      </c>
      <c r="S52" s="31">
        <v>2.71828</v>
      </c>
      <c r="U52" s="25" t="s">
        <v>140</v>
      </c>
      <c r="V52" s="31">
        <v>2.71828</v>
      </c>
      <c r="X52" s="25" t="s">
        <v>140</v>
      </c>
      <c r="Y52" s="31">
        <v>2.71828</v>
      </c>
      <c r="Z52" t="s">
        <v>190</v>
      </c>
      <c r="AC52" s="19"/>
      <c r="AD52" s="25"/>
      <c r="AE52" s="28"/>
      <c r="AJ52" s="19"/>
      <c r="AK52" s="25"/>
      <c r="AL52" s="28"/>
      <c r="AM52" s="28"/>
    </row>
    <row r="53" spans="5:42" x14ac:dyDescent="0.2">
      <c r="Q53" s="19" t="s">
        <v>41</v>
      </c>
      <c r="R53" s="25" t="s">
        <v>4</v>
      </c>
      <c r="S53" s="28">
        <f>S49*S51</f>
        <v>3.1</v>
      </c>
      <c r="U53" s="25" t="s">
        <v>4</v>
      </c>
      <c r="V53" s="28">
        <f>V49*V51</f>
        <v>3.1</v>
      </c>
      <c r="X53" s="25" t="s">
        <v>4</v>
      </c>
      <c r="Y53" s="28">
        <f>Y49*Y51</f>
        <v>3.1</v>
      </c>
      <c r="AA53" s="12">
        <f>Y63</f>
        <v>0.95495079760644219</v>
      </c>
      <c r="AC53" s="19"/>
      <c r="AD53" s="25"/>
      <c r="AE53" s="29"/>
      <c r="AJ53" s="19"/>
      <c r="AK53" s="25"/>
      <c r="AL53" s="29"/>
      <c r="AM53" s="29"/>
    </row>
    <row r="54" spans="5:42" x14ac:dyDescent="0.2">
      <c r="Q54" s="17"/>
      <c r="AC54" s="17"/>
      <c r="AD54" s="25"/>
      <c r="AE54" s="20"/>
      <c r="AJ54" s="17"/>
      <c r="AK54" s="25"/>
      <c r="AL54" s="20"/>
      <c r="AM54" s="20"/>
    </row>
    <row r="55" spans="5:42" x14ac:dyDescent="0.2">
      <c r="R55" s="25" t="s">
        <v>143</v>
      </c>
      <c r="S55" s="24">
        <f>S53^S50</f>
        <v>92.352100000000021</v>
      </c>
      <c r="U55" s="25" t="s">
        <v>143</v>
      </c>
      <c r="V55" s="24">
        <f>V53^V50</f>
        <v>1</v>
      </c>
      <c r="X55" s="25" t="s">
        <v>143</v>
      </c>
      <c r="Y55" s="24">
        <f>Y53^Y50</f>
        <v>3.1</v>
      </c>
      <c r="AC55" s="17"/>
      <c r="AD55" s="25"/>
      <c r="AE55" s="20"/>
      <c r="AJ55" s="17"/>
      <c r="AK55" s="25"/>
      <c r="AL55" s="20"/>
      <c r="AM55" s="20"/>
    </row>
    <row r="56" spans="5:42" x14ac:dyDescent="0.2">
      <c r="Q56" s="19"/>
      <c r="R56" s="25" t="s">
        <v>144</v>
      </c>
      <c r="S56" s="24">
        <f>S52^(-S53)</f>
        <v>4.5049296331307873E-2</v>
      </c>
      <c r="U56" s="25" t="s">
        <v>144</v>
      </c>
      <c r="V56" s="24">
        <f>V52^(-V53)</f>
        <v>4.5049296331307873E-2</v>
      </c>
      <c r="X56" s="25" t="s">
        <v>144</v>
      </c>
      <c r="Y56" s="24">
        <f>Y52^(-Y53)</f>
        <v>4.5049296331307873E-2</v>
      </c>
      <c r="AC56" s="19"/>
      <c r="AD56" s="25"/>
      <c r="AE56" s="27"/>
      <c r="AJ56" s="19"/>
      <c r="AK56" s="25"/>
      <c r="AL56" s="27"/>
      <c r="AM56" s="27"/>
      <c r="AP56" s="27"/>
    </row>
    <row r="57" spans="5:42" x14ac:dyDescent="0.2">
      <c r="Q57" s="19"/>
      <c r="R57" s="25" t="s">
        <v>145</v>
      </c>
      <c r="S57">
        <f>FACT(S50)</f>
        <v>24</v>
      </c>
      <c r="U57" s="25" t="s">
        <v>145</v>
      </c>
      <c r="V57">
        <f>FACT(V50)</f>
        <v>1</v>
      </c>
      <c r="X57" s="25" t="s">
        <v>145</v>
      </c>
      <c r="Y57">
        <f>FACT(Y50)</f>
        <v>1</v>
      </c>
      <c r="AC57" s="19"/>
      <c r="AD57" s="25"/>
      <c r="AE57" s="27"/>
      <c r="AJ57" s="19"/>
      <c r="AK57" s="25"/>
      <c r="AL57" s="27"/>
      <c r="AM57" s="27"/>
    </row>
    <row r="58" spans="5:42" x14ac:dyDescent="0.2">
      <c r="R58" s="35" t="str">
        <f>"P("&amp;S50&amp;")"</f>
        <v>P(4)</v>
      </c>
      <c r="S58" s="36">
        <f>(S55*S56)/S57</f>
        <v>0.17334987998827411</v>
      </c>
      <c r="T58" s="32"/>
      <c r="U58" s="35" t="str">
        <f>"P("&amp;V50&amp;")"</f>
        <v>P(0)</v>
      </c>
      <c r="V58" s="36">
        <f>(V55*V56)/V57</f>
        <v>4.5049296331307873E-2</v>
      </c>
      <c r="X58" s="35" t="str">
        <f>"P("&amp;Y50&amp;")"</f>
        <v>P(1)</v>
      </c>
      <c r="Y58" s="36">
        <f>(Y55*Y56)/Y57</f>
        <v>0.13965281862705442</v>
      </c>
      <c r="AC58" s="19"/>
      <c r="AD58" s="25"/>
      <c r="AE58" s="30"/>
      <c r="AJ58" s="19"/>
      <c r="AK58" s="25"/>
      <c r="AL58" s="30"/>
      <c r="AM58" s="30"/>
    </row>
    <row r="59" spans="5:42" x14ac:dyDescent="0.2">
      <c r="AE59" s="20"/>
      <c r="AL59" s="20"/>
      <c r="AM59" s="20"/>
    </row>
    <row r="60" spans="5:42" x14ac:dyDescent="0.2">
      <c r="R60" s="35" t="str">
        <f>"P(&lt;"&amp;S50&amp;")"</f>
        <v>P(&lt;4)</v>
      </c>
      <c r="S60" s="36">
        <f>_xlfn.POISSON.DIST(S50-1,S53,TRUE)</f>
        <v>0.62483994539904553</v>
      </c>
      <c r="T60" s="32"/>
      <c r="U60" s="35" t="str">
        <f>"P(&lt;"&amp;V50&amp;")"</f>
        <v>P(&lt;0)</v>
      </c>
      <c r="V60" s="36" t="e">
        <f>_xlfn.POISSON.DIST(V50-1,V53,TRUE)</f>
        <v>#NUM!</v>
      </c>
      <c r="X60" s="35" t="str">
        <f>"P(&lt;"&amp;Y50&amp;")"</f>
        <v>P(&lt;1)</v>
      </c>
      <c r="Y60" s="36">
        <f>_xlfn.POISSON.DIST(Y50-1,Y53,TRUE)</f>
        <v>4.5049202393557801E-2</v>
      </c>
      <c r="AD60" s="25"/>
      <c r="AE60" s="20"/>
      <c r="AK60" s="25"/>
      <c r="AL60" s="20"/>
      <c r="AM60" s="20"/>
    </row>
    <row r="61" spans="5:42" x14ac:dyDescent="0.2">
      <c r="R61" s="35" t="str">
        <f>"P(&lt;="&amp;S50&amp;")"</f>
        <v>P(&lt;=4)</v>
      </c>
      <c r="S61" s="36">
        <f>_xlfn.POISSON.DIST(S50,S53,TRUE)</f>
        <v>0.7981894639144661</v>
      </c>
      <c r="T61" s="32"/>
      <c r="U61" s="35" t="str">
        <f>"P(&lt;="&amp;V50&amp;")"</f>
        <v>P(&lt;=0)</v>
      </c>
      <c r="V61" s="36">
        <f>_xlfn.POISSON.DIST(V50,V53,TRUE)</f>
        <v>4.5049202393557801E-2</v>
      </c>
      <c r="X61" s="35" t="str">
        <f>"P(&lt;="&amp;Y50&amp;")"</f>
        <v>P(&lt;=1)</v>
      </c>
      <c r="Y61" s="36">
        <f>_xlfn.POISSON.DIST(Y50,Y53,TRUE)</f>
        <v>0.18470172981358696</v>
      </c>
      <c r="AD61" s="25"/>
      <c r="AE61" s="29"/>
      <c r="AK61" s="25"/>
      <c r="AL61" s="29"/>
      <c r="AM61" s="29"/>
    </row>
    <row r="62" spans="5:42" x14ac:dyDescent="0.2">
      <c r="R62" s="35" t="str">
        <f>"P("&amp;S50&amp;")"</f>
        <v>P(4)</v>
      </c>
      <c r="S62" s="36">
        <f>_xlfn.POISSON.DIST(S50,S53,FALSE)</f>
        <v>0.17334951851542044</v>
      </c>
      <c r="T62" s="32"/>
      <c r="U62" s="35" t="str">
        <f>"P("&amp;V50&amp;")"</f>
        <v>P(0)</v>
      </c>
      <c r="V62" s="36">
        <f>_xlfn.POISSON.DIST(V50,V53,FALSE)</f>
        <v>4.5049202393557801E-2</v>
      </c>
      <c r="X62" s="35" t="str">
        <f>"P("&amp;Y50&amp;")"</f>
        <v>P(1)</v>
      </c>
      <c r="Y62" s="36">
        <f>_xlfn.POISSON.DIST(Y50,Y53,FALSE)</f>
        <v>0.1396525274200292</v>
      </c>
      <c r="AD62" s="25"/>
      <c r="AE62" s="28"/>
      <c r="AK62" s="25"/>
      <c r="AL62" s="28"/>
      <c r="AM62" s="28"/>
    </row>
    <row r="63" spans="5:42" x14ac:dyDescent="0.2">
      <c r="R63" s="35" t="str">
        <f>"P(&gt;="&amp;S50&amp;")"</f>
        <v>P(&gt;=4)</v>
      </c>
      <c r="S63" s="36">
        <f>1-S60</f>
        <v>0.37516005460095447</v>
      </c>
      <c r="U63" s="35" t="str">
        <f>"P(&gt;="&amp;V50&amp;")"</f>
        <v>P(&gt;=0)</v>
      </c>
      <c r="V63" s="36" t="e">
        <f>1-V60</f>
        <v>#NUM!</v>
      </c>
      <c r="X63" s="35" t="str">
        <f>"P(&gt;="&amp;Y50&amp;")"</f>
        <v>P(&gt;=1)</v>
      </c>
      <c r="Y63" s="36">
        <f>1-Y60</f>
        <v>0.95495079760644219</v>
      </c>
      <c r="AD63" s="25"/>
      <c r="AE63" s="31"/>
      <c r="AK63" s="25"/>
      <c r="AL63" s="31"/>
      <c r="AM63" s="31"/>
    </row>
    <row r="64" spans="5:42" x14ac:dyDescent="0.2">
      <c r="R64" s="35" t="str">
        <f>"P(&gt;"&amp;S50&amp;")"</f>
        <v>P(&gt;4)</v>
      </c>
      <c r="S64" s="36">
        <f>1-S61</f>
        <v>0.2018105360855339</v>
      </c>
      <c r="U64" s="35" t="str">
        <f>"P(&gt;"&amp;V50&amp;")"</f>
        <v>P(&gt;0)</v>
      </c>
      <c r="V64" s="36">
        <f>1-V61</f>
        <v>0.95495079760644219</v>
      </c>
      <c r="X64" s="35" t="str">
        <f>"P(&gt;"&amp;Y50&amp;")"</f>
        <v>P(&gt;1)</v>
      </c>
      <c r="Y64" s="36">
        <f>1-Y61</f>
        <v>0.8152982701864131</v>
      </c>
      <c r="AD64" s="25"/>
      <c r="AE64" s="31"/>
      <c r="AK64" s="25"/>
      <c r="AL64" s="31"/>
      <c r="AM64" s="31"/>
    </row>
    <row r="65" spans="19:49" x14ac:dyDescent="0.2">
      <c r="AL65" s="20"/>
      <c r="AM65" s="20"/>
    </row>
    <row r="66" spans="19:49" x14ac:dyDescent="0.2">
      <c r="S66" s="25" t="str">
        <f>"P("&amp;S50&amp;"or"&amp;V50&amp;")"</f>
        <v>P(4or0)</v>
      </c>
      <c r="T66" s="31">
        <f>SUM(S62,V62)</f>
        <v>0.21839872090897824</v>
      </c>
      <c r="AK66" s="25"/>
      <c r="AL66" s="31"/>
    </row>
    <row r="67" spans="19:49" x14ac:dyDescent="0.2">
      <c r="S67" s="25" t="str">
        <f>"P("&amp;S50&amp;"thru"&amp;V50&amp;")"</f>
        <v>P(4thru0)</v>
      </c>
      <c r="T67" s="31">
        <f>1-S60-V64</f>
        <v>-0.57979074300548772</v>
      </c>
      <c r="AK67" s="25"/>
      <c r="AL67" s="20"/>
      <c r="AM67" s="31"/>
    </row>
    <row r="69" spans="19:49" x14ac:dyDescent="0.2">
      <c r="Y69" s="17"/>
    </row>
    <row r="70" spans="19:49" x14ac:dyDescent="0.2">
      <c r="Z70" s="20"/>
      <c r="AA70" s="20"/>
    </row>
    <row r="71" spans="19:49" x14ac:dyDescent="0.2">
      <c r="Z71" s="20"/>
      <c r="AA71" s="20"/>
    </row>
    <row r="72" spans="19:49" x14ac:dyDescent="0.2">
      <c r="Z72" s="20"/>
      <c r="AA72" s="20"/>
    </row>
    <row r="73" spans="19:49" x14ac:dyDescent="0.2">
      <c r="Z73" s="20"/>
      <c r="AA73" s="20"/>
    </row>
    <row r="74" spans="19:49" x14ac:dyDescent="0.2">
      <c r="Z74" s="20"/>
      <c r="AA74" s="20"/>
    </row>
    <row r="77" spans="19:49" x14ac:dyDescent="0.2">
      <c r="AA77" s="2"/>
      <c r="AL77" s="19"/>
      <c r="AN77" s="20"/>
      <c r="AO77" s="20"/>
      <c r="AT77" s="19"/>
      <c r="AV77" s="20"/>
      <c r="AW77" s="20"/>
    </row>
    <row r="78" spans="19:49" x14ac:dyDescent="0.2">
      <c r="AA78" s="2"/>
      <c r="AL78" s="19"/>
      <c r="AM78" s="25"/>
      <c r="AN78" s="28"/>
      <c r="AO78" s="28"/>
      <c r="AT78" s="19"/>
      <c r="AU78" s="25"/>
      <c r="AV78" s="28"/>
      <c r="AW78" s="28"/>
    </row>
    <row r="79" spans="19:49" x14ac:dyDescent="0.2">
      <c r="AL79" s="19"/>
      <c r="AM79" s="25"/>
      <c r="AN79" s="28"/>
      <c r="AO79" s="28"/>
      <c r="AT79" s="19"/>
      <c r="AU79" s="25"/>
      <c r="AV79" s="28"/>
      <c r="AW79" s="28"/>
    </row>
    <row r="80" spans="19:49" x14ac:dyDescent="0.2">
      <c r="AL80" s="19"/>
      <c r="AM80" s="25"/>
      <c r="AN80" s="29"/>
      <c r="AO80" s="29"/>
      <c r="AT80" s="19"/>
      <c r="AU80" s="25"/>
      <c r="AV80" s="29"/>
      <c r="AW80" s="29"/>
    </row>
    <row r="81" spans="29:49" x14ac:dyDescent="0.2">
      <c r="AC81" s="19"/>
      <c r="AE81" s="20"/>
      <c r="AL81" s="17"/>
      <c r="AM81" s="25"/>
      <c r="AN81" s="20"/>
      <c r="AO81" s="20"/>
      <c r="AT81" s="17"/>
      <c r="AU81" s="25"/>
      <c r="AV81" s="20"/>
      <c r="AW81" s="20"/>
    </row>
    <row r="82" spans="29:49" x14ac:dyDescent="0.2">
      <c r="AC82" s="19"/>
      <c r="AD82" s="25"/>
      <c r="AE82" s="28"/>
      <c r="AL82" s="17"/>
      <c r="AM82" s="25"/>
      <c r="AN82" s="20"/>
      <c r="AO82" s="20"/>
      <c r="AT82" s="17"/>
      <c r="AU82" s="25"/>
      <c r="AV82" s="31"/>
      <c r="AW82" s="32"/>
    </row>
    <row r="83" spans="29:49" x14ac:dyDescent="0.2">
      <c r="AC83" s="19"/>
      <c r="AD83" s="25"/>
      <c r="AE83" s="28"/>
      <c r="AL83" s="19"/>
      <c r="AM83" s="25"/>
      <c r="AN83" s="27"/>
      <c r="AO83" s="27"/>
      <c r="AT83" s="19"/>
      <c r="AW83" s="27"/>
    </row>
    <row r="84" spans="29:49" x14ac:dyDescent="0.2">
      <c r="AC84" s="19"/>
      <c r="AD84" s="25"/>
      <c r="AE84" s="29"/>
      <c r="AL84" s="19"/>
      <c r="AM84" s="25"/>
      <c r="AN84" s="27"/>
      <c r="AO84" s="27"/>
      <c r="AT84" s="19"/>
      <c r="AU84" s="25"/>
      <c r="AV84" s="31"/>
      <c r="AW84" s="33"/>
    </row>
    <row r="85" spans="29:49" x14ac:dyDescent="0.2">
      <c r="AC85" s="17"/>
      <c r="AD85" s="25"/>
      <c r="AE85" s="20"/>
      <c r="AL85" s="19"/>
      <c r="AM85" s="25"/>
      <c r="AN85" s="30"/>
      <c r="AO85" s="30"/>
      <c r="AT85" s="19"/>
      <c r="AV85" s="20"/>
      <c r="AW85" s="30"/>
    </row>
    <row r="86" spans="29:49" x14ac:dyDescent="0.2">
      <c r="AC86" s="17"/>
      <c r="AD86" s="25"/>
      <c r="AE86" s="20"/>
      <c r="AN86" s="20"/>
      <c r="AO86" s="20"/>
      <c r="AV86" s="20"/>
      <c r="AW86" s="20"/>
    </row>
    <row r="87" spans="29:49" x14ac:dyDescent="0.2">
      <c r="AC87" s="19"/>
      <c r="AD87" s="25"/>
      <c r="AE87" s="27"/>
      <c r="AM87" s="25"/>
      <c r="AN87" s="20"/>
      <c r="AO87" s="20"/>
      <c r="AU87" s="25"/>
      <c r="AV87" s="20"/>
      <c r="AW87" s="20"/>
    </row>
    <row r="88" spans="29:49" x14ac:dyDescent="0.2">
      <c r="AC88" s="19"/>
      <c r="AD88" s="25"/>
      <c r="AE88" s="27"/>
      <c r="AM88" s="25"/>
      <c r="AN88" s="29"/>
      <c r="AO88" s="29"/>
      <c r="AU88" s="25"/>
      <c r="AV88" s="29"/>
      <c r="AW88" s="29"/>
    </row>
    <row r="89" spans="29:49" x14ac:dyDescent="0.2">
      <c r="AC89" s="19"/>
      <c r="AD89" s="25"/>
      <c r="AE89" s="30"/>
      <c r="AM89" s="25"/>
      <c r="AN89" s="28"/>
      <c r="AO89" s="28"/>
      <c r="AU89" s="25"/>
      <c r="AV89" s="28"/>
      <c r="AW89" s="28"/>
    </row>
    <row r="90" spans="29:49" x14ac:dyDescent="0.2">
      <c r="AE90" s="20"/>
      <c r="AM90" s="25"/>
      <c r="AN90" s="31"/>
      <c r="AO90" s="31"/>
      <c r="AU90" s="25"/>
      <c r="AV90" s="31"/>
      <c r="AW90" s="31"/>
    </row>
    <row r="91" spans="29:49" x14ac:dyDescent="0.2">
      <c r="AD91" s="25"/>
      <c r="AE91" s="20"/>
      <c r="AM91" s="25"/>
      <c r="AN91" s="31"/>
      <c r="AO91" s="31"/>
      <c r="AW91" s="31"/>
    </row>
    <row r="92" spans="29:49" x14ac:dyDescent="0.2">
      <c r="AD92" s="25"/>
      <c r="AE92" s="29"/>
    </row>
    <row r="93" spans="29:49" x14ac:dyDescent="0.2">
      <c r="AD93" s="25"/>
      <c r="AE93" s="28"/>
      <c r="AM93" s="25"/>
      <c r="AN93" s="31"/>
    </row>
    <row r="94" spans="29:49" x14ac:dyDescent="0.2">
      <c r="AD94" s="25"/>
      <c r="AE94" s="31"/>
    </row>
    <row r="95" spans="29:49" x14ac:dyDescent="0.2">
      <c r="AD95" s="25"/>
      <c r="AE95" s="31"/>
    </row>
    <row r="97" spans="25:31" x14ac:dyDescent="0.2">
      <c r="Y97" s="17"/>
    </row>
    <row r="98" spans="25:31" x14ac:dyDescent="0.2">
      <c r="Y98" s="17"/>
    </row>
    <row r="99" spans="25:31" x14ac:dyDescent="0.2">
      <c r="Z99" s="20"/>
      <c r="AA99" s="20"/>
    </row>
    <row r="100" spans="25:31" x14ac:dyDescent="0.2">
      <c r="Z100" s="20"/>
      <c r="AA100" s="20"/>
    </row>
    <row r="101" spans="25:31" x14ac:dyDescent="0.2">
      <c r="Z101" s="20"/>
      <c r="AA101" s="20"/>
    </row>
    <row r="102" spans="25:31" x14ac:dyDescent="0.2">
      <c r="Z102" s="20"/>
      <c r="AA102" s="20"/>
    </row>
    <row r="103" spans="25:31" x14ac:dyDescent="0.2">
      <c r="Z103" s="20"/>
      <c r="AA103" s="20"/>
    </row>
    <row r="105" spans="25:31" x14ac:dyDescent="0.2">
      <c r="AC105" s="19"/>
      <c r="AE105" s="20"/>
    </row>
    <row r="106" spans="25:31" x14ac:dyDescent="0.2">
      <c r="AC106" s="19"/>
      <c r="AD106" s="25"/>
      <c r="AE106" s="28"/>
    </row>
    <row r="107" spans="25:31" x14ac:dyDescent="0.2">
      <c r="AC107" s="19"/>
      <c r="AD107" s="25"/>
      <c r="AE107" s="28"/>
    </row>
    <row r="108" spans="25:31" x14ac:dyDescent="0.2">
      <c r="AC108" s="19"/>
      <c r="AD108" s="25"/>
      <c r="AE108" s="29"/>
    </row>
    <row r="109" spans="25:31" x14ac:dyDescent="0.2">
      <c r="AC109" s="17"/>
      <c r="AD109" s="25"/>
      <c r="AE109" s="20"/>
    </row>
    <row r="110" spans="25:31" x14ac:dyDescent="0.2">
      <c r="AC110" s="17"/>
      <c r="AD110" s="25"/>
      <c r="AE110" s="20"/>
    </row>
    <row r="111" spans="25:31" x14ac:dyDescent="0.2">
      <c r="AC111" s="19"/>
      <c r="AD111" s="25"/>
      <c r="AE111" s="27"/>
    </row>
    <row r="112" spans="25:31" x14ac:dyDescent="0.2">
      <c r="AC112" s="19"/>
      <c r="AD112" s="25"/>
      <c r="AE112" s="27"/>
    </row>
    <row r="113" spans="29:31" x14ac:dyDescent="0.2">
      <c r="AC113" s="19"/>
      <c r="AD113" s="25"/>
      <c r="AE113" s="30"/>
    </row>
    <row r="114" spans="29:31" x14ac:dyDescent="0.2">
      <c r="AE114" s="20"/>
    </row>
    <row r="115" spans="29:31" x14ac:dyDescent="0.2">
      <c r="AD115" s="25"/>
      <c r="AE115" s="20"/>
    </row>
    <row r="116" spans="29:31" x14ac:dyDescent="0.2">
      <c r="AD116" s="25"/>
      <c r="AE116" s="29"/>
    </row>
    <row r="117" spans="29:31" x14ac:dyDescent="0.2">
      <c r="AD117" s="25"/>
      <c r="AE117" s="28"/>
    </row>
    <row r="118" spans="29:31" x14ac:dyDescent="0.2">
      <c r="AD118" s="25"/>
      <c r="AE118" s="31"/>
    </row>
    <row r="119" spans="29:31" x14ac:dyDescent="0.2">
      <c r="AD119" s="25"/>
      <c r="AE119" s="3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9049-4077-440A-8A89-EE7FEEDF8593}">
  <dimension ref="A1"/>
  <sheetViews>
    <sheetView workbookViewId="0"/>
  </sheetViews>
  <sheetFormatPr defaultRowHeight="12" x14ac:dyDescent="0.2"/>
  <sheetData>
    <row r="1" spans="1:1" x14ac:dyDescent="0.2">
      <c r="A1" t="s">
        <v>275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20</vt:i4>
      </vt:variant>
    </vt:vector>
  </HeadingPairs>
  <TitlesOfParts>
    <vt:vector size="48" baseType="lpstr">
      <vt:lpstr>Notes</vt:lpstr>
      <vt:lpstr>Scratch Pad</vt:lpstr>
      <vt:lpstr>Ch 6 Discrete Prob Dist</vt:lpstr>
      <vt:lpstr>Frequency Tables Ex Ch6</vt:lpstr>
      <vt:lpstr>When to use what formula</vt:lpstr>
      <vt:lpstr>Binomial Prob Dist Ex Ch6</vt:lpstr>
      <vt:lpstr>Hypergeometric Ex Ch6</vt:lpstr>
      <vt:lpstr>Poisson Prob Dist Ex Ch6</vt:lpstr>
      <vt:lpstr>Ch 7 Continuous Prob Dist</vt:lpstr>
      <vt:lpstr>Uniform Distribution</vt:lpstr>
      <vt:lpstr>Normal Distribution</vt:lpstr>
      <vt:lpstr>Exponential Distribution</vt:lpstr>
      <vt:lpstr>Ch 8 Sampling and Central Limit</vt:lpstr>
      <vt:lpstr>Ch 9 Estimation and Conf Interv</vt:lpstr>
      <vt:lpstr>z-Table</vt:lpstr>
      <vt:lpstr>t-Table</vt:lpstr>
      <vt:lpstr>Ch 9 Review</vt:lpstr>
      <vt:lpstr>Review 1</vt:lpstr>
      <vt:lpstr>Review 2</vt:lpstr>
      <vt:lpstr>Review 3</vt:lpstr>
      <vt:lpstr>Review 4</vt:lpstr>
      <vt:lpstr>Review 5</vt:lpstr>
      <vt:lpstr>Review 6</vt:lpstr>
      <vt:lpstr>Review 7</vt:lpstr>
      <vt:lpstr>1</vt:lpstr>
      <vt:lpstr>2</vt:lpstr>
      <vt:lpstr>3</vt:lpstr>
      <vt:lpstr>4</vt:lpstr>
      <vt:lpstr>_binomial</vt:lpstr>
      <vt:lpstr>_binomial_formulas</vt:lpstr>
      <vt:lpstr>_continuous_probability_distribution</vt:lpstr>
      <vt:lpstr>_discrete_probability_distributions</vt:lpstr>
      <vt:lpstr>_empirical_rule</vt:lpstr>
      <vt:lpstr>_exponential_formulas</vt:lpstr>
      <vt:lpstr>_formula_picker</vt:lpstr>
      <vt:lpstr>_hypergeo_formulas</vt:lpstr>
      <vt:lpstr>_hypergeometric</vt:lpstr>
      <vt:lpstr>_normal_formulas</vt:lpstr>
      <vt:lpstr>_normal_probability_distribution</vt:lpstr>
      <vt:lpstr>_poisson</vt:lpstr>
      <vt:lpstr>_poisson_formulas</vt:lpstr>
      <vt:lpstr>_randVar</vt:lpstr>
      <vt:lpstr>_std_norm_formulas_known_sigma</vt:lpstr>
      <vt:lpstr>_success</vt:lpstr>
      <vt:lpstr>_t_table</vt:lpstr>
      <vt:lpstr>_uniform_formulas</vt:lpstr>
      <vt:lpstr>_uniform_probability</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2020-10-15T02:10:30Z</dcterms:created>
  <dcterms:modified xsi:type="dcterms:W3CDTF">2020-10-19T22:25:05Z</dcterms:modified>
</cp:coreProperties>
</file>