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3\"/>
    </mc:Choice>
  </mc:AlternateContent>
  <xr:revisionPtr revIDLastSave="0" documentId="13_ncr:1_{890A38AB-BA5D-44CC-993E-27053A7F4890}" xr6:coauthVersionLast="45" xr6:coauthVersionMax="45" xr10:uidLastSave="{00000000-0000-0000-0000-000000000000}"/>
  <bookViews>
    <workbookView xWindow="-120" yWindow="-120" windowWidth="29040" windowHeight="15840" tabRatio="922" firstSheet="5" activeTab="11" xr2:uid="{39856AD9-BEBD-4883-887C-DCC6FA625468}"/>
  </bookViews>
  <sheets>
    <sheet name="One-Sample Test of Hypothesis" sheetId="32" r:id="rId1"/>
    <sheet name="1-sample Hypo Test known Sigma" sheetId="23" r:id="rId2"/>
    <sheet name="1-sampleHypo Test unknown Sigma" sheetId="22" r:id="rId3"/>
    <sheet name="Type II Error" sheetId="24" r:id="rId4"/>
    <sheet name="11042020 group exercise" sheetId="25" r:id="rId5"/>
    <sheet name="Two-Sample Test of Hypothesis" sheetId="30" r:id="rId6"/>
    <sheet name="2-sampleHypoTest BothSigmaKnown" sheetId="26" r:id="rId7"/>
    <sheet name="2-sampleHypoTest UnknownSigmas" sheetId="29" r:id="rId8"/>
    <sheet name="2-sampleHypoTest UnequalSigma" sheetId="28" r:id="rId9"/>
    <sheet name="2-sampleHypoTest DependentSampl" sheetId="27" r:id="rId10"/>
    <sheet name="Module 3 HW" sheetId="19" r:id="rId11"/>
    <sheet name="Sheet1" sheetId="33" r:id="rId12"/>
    <sheet name="z-Table" sheetId="20" r:id="rId13"/>
    <sheet name="t-Table" sheetId="21" r:id="rId14"/>
    <sheet name="Addl Resources" sheetId="31" r:id="rId15"/>
  </sheets>
  <externalReferences>
    <externalReference r:id="rId16"/>
  </externalReferences>
  <definedNames>
    <definedName name="_hypTest_known_sigma">'1-sample Hypo Test known Sigma'!$K$123:$P$162</definedName>
    <definedName name="_hypTest_unknown_sigma">'1-sampleHypo Test unknown Sigma'!$K$289:$AC$339</definedName>
    <definedName name="_randVar">'[1]When to use what formula'!$J$10</definedName>
    <definedName name="_success">'[1]When to use what formula'!$J$13</definedName>
    <definedName name="_t_table">'t-Table'!$A$1</definedName>
    <definedName name="_verify_type_II_error">'Type II Error'!$C$15:$D$21</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33" l="1"/>
  <c r="T13" i="33"/>
  <c r="T12" i="33"/>
  <c r="O4" i="33"/>
  <c r="N21" i="33" s="1"/>
  <c r="O5" i="33"/>
  <c r="N22" i="33" s="1"/>
  <c r="P15" i="33"/>
  <c r="N23" i="33" l="1"/>
  <c r="M24" i="33" s="1"/>
  <c r="M21" i="25"/>
  <c r="F126" i="27"/>
  <c r="F125" i="27"/>
  <c r="F124" i="27"/>
  <c r="F123" i="27"/>
  <c r="F122" i="27"/>
  <c r="F121" i="27"/>
  <c r="F120" i="27"/>
  <c r="F119" i="27"/>
  <c r="S107" i="27"/>
  <c r="V102" i="27"/>
  <c r="U102" i="27"/>
  <c r="P102" i="27"/>
  <c r="U96" i="27"/>
  <c r="P94" i="27"/>
  <c r="P93" i="27"/>
  <c r="O93" i="27"/>
  <c r="P92" i="27"/>
  <c r="O92" i="27"/>
  <c r="V91" i="27"/>
  <c r="U91" i="27"/>
  <c r="P91" i="27"/>
  <c r="O91" i="27"/>
  <c r="U94" i="27" s="1"/>
  <c r="U90" i="27"/>
  <c r="S26" i="27"/>
  <c r="S25" i="27"/>
  <c r="F85" i="27"/>
  <c r="F84" i="27"/>
  <c r="F83" i="27"/>
  <c r="F82" i="27"/>
  <c r="F81" i="27"/>
  <c r="F80" i="27"/>
  <c r="F79" i="27"/>
  <c r="F78" i="27"/>
  <c r="S66" i="27"/>
  <c r="P65" i="27"/>
  <c r="V61" i="27"/>
  <c r="U61" i="27"/>
  <c r="P61" i="27"/>
  <c r="P53" i="27"/>
  <c r="P52" i="27"/>
  <c r="O52" i="27"/>
  <c r="P51" i="27"/>
  <c r="O51" i="27"/>
  <c r="V50" i="27"/>
  <c r="U50" i="27"/>
  <c r="P50" i="27"/>
  <c r="V62" i="27" s="1"/>
  <c r="O50" i="27"/>
  <c r="U53" i="27" s="1"/>
  <c r="U49" i="27"/>
  <c r="T24" i="29"/>
  <c r="S25" i="29" s="1"/>
  <c r="T24" i="28"/>
  <c r="T53" i="28"/>
  <c r="T83" i="28"/>
  <c r="O12" i="26"/>
  <c r="O11" i="26"/>
  <c r="S25" i="28"/>
  <c r="U63" i="28"/>
  <c r="O65" i="28"/>
  <c r="U74" i="28" s="1"/>
  <c r="O66" i="28"/>
  <c r="P64" i="28"/>
  <c r="V67" i="28" s="1"/>
  <c r="P65" i="28"/>
  <c r="P66" i="28"/>
  <c r="O64" i="28"/>
  <c r="P63" i="28"/>
  <c r="V64" i="28" s="1"/>
  <c r="O63" i="28"/>
  <c r="U64" i="28" s="1"/>
  <c r="S85" i="28"/>
  <c r="S80" i="28"/>
  <c r="V76" i="28"/>
  <c r="P75" i="28"/>
  <c r="U67" i="28"/>
  <c r="P67" i="28"/>
  <c r="N40" i="28"/>
  <c r="N41" i="28"/>
  <c r="U33" i="28" s="1"/>
  <c r="U46" i="28"/>
  <c r="S55" i="28"/>
  <c r="S50" i="28"/>
  <c r="P49" i="28"/>
  <c r="P48" i="28"/>
  <c r="V46" i="28"/>
  <c r="V45" i="28"/>
  <c r="U45" i="28"/>
  <c r="P45" i="28"/>
  <c r="U44" i="28"/>
  <c r="V37" i="28"/>
  <c r="U37" i="28"/>
  <c r="P37" i="28"/>
  <c r="V35" i="28"/>
  <c r="V36" i="28" s="1"/>
  <c r="U35" i="28"/>
  <c r="V34" i="28"/>
  <c r="U34" i="28"/>
  <c r="U5" i="29"/>
  <c r="V5" i="29" s="1"/>
  <c r="V17" i="29"/>
  <c r="U17" i="29"/>
  <c r="V12" i="29"/>
  <c r="U14" i="29" s="1"/>
  <c r="U18" i="29" s="1"/>
  <c r="U12" i="29"/>
  <c r="U13" i="29"/>
  <c r="V11" i="29"/>
  <c r="U11" i="29"/>
  <c r="U4" i="28"/>
  <c r="U10" i="28" s="1"/>
  <c r="V10" i="28" s="1"/>
  <c r="U5" i="28"/>
  <c r="V5" i="28"/>
  <c r="U6" i="28"/>
  <c r="U7" i="28" s="1"/>
  <c r="V6" i="28"/>
  <c r="V7" i="28" s="1"/>
  <c r="U8" i="28"/>
  <c r="V8" i="28"/>
  <c r="U15" i="28"/>
  <c r="U16" i="28"/>
  <c r="V16" i="28"/>
  <c r="U17" i="28"/>
  <c r="V17" i="28"/>
  <c r="S21" i="28"/>
  <c r="S26" i="28"/>
  <c r="S26" i="29"/>
  <c r="S21" i="29"/>
  <c r="V16" i="29"/>
  <c r="U16" i="29"/>
  <c r="U15" i="29"/>
  <c r="P20" i="29"/>
  <c r="P22" i="29" s="1"/>
  <c r="T18" i="29" s="1"/>
  <c r="P17" i="29"/>
  <c r="O13" i="29"/>
  <c r="U4" i="29" s="1"/>
  <c r="O12" i="29"/>
  <c r="P9" i="29"/>
  <c r="F33" i="27"/>
  <c r="G34" i="27" s="1"/>
  <c r="H34" i="27" s="1"/>
  <c r="F34" i="27"/>
  <c r="F35" i="27"/>
  <c r="F36" i="27"/>
  <c r="G36" i="27" s="1"/>
  <c r="H36" i="27" s="1"/>
  <c r="F37" i="27"/>
  <c r="G37" i="27" s="1"/>
  <c r="H37" i="27" s="1"/>
  <c r="F38" i="27"/>
  <c r="F39" i="27"/>
  <c r="F40" i="27"/>
  <c r="G40" i="27" s="1"/>
  <c r="H40" i="27" s="1"/>
  <c r="F41" i="27"/>
  <c r="G41" i="27" s="1"/>
  <c r="H41" i="27" s="1"/>
  <c r="F42" i="27"/>
  <c r="F43" i="27"/>
  <c r="F44" i="27"/>
  <c r="G44" i="27" s="1"/>
  <c r="H44" i="27" s="1"/>
  <c r="U4" i="27"/>
  <c r="P5" i="27"/>
  <c r="P6" i="27"/>
  <c r="P7" i="27"/>
  <c r="O7" i="27"/>
  <c r="P20" i="27" s="1"/>
  <c r="O6" i="27"/>
  <c r="O5" i="27"/>
  <c r="U8" i="27" s="1"/>
  <c r="P20" i="28"/>
  <c r="P19" i="28"/>
  <c r="P16" i="28"/>
  <c r="P8" i="28"/>
  <c r="V5" i="27"/>
  <c r="U5" i="27"/>
  <c r="U16" i="27"/>
  <c r="S21" i="27"/>
  <c r="V16" i="27"/>
  <c r="P16" i="27"/>
  <c r="P8" i="27"/>
  <c r="S26" i="26"/>
  <c r="S17" i="26"/>
  <c r="V13" i="26"/>
  <c r="U13" i="26"/>
  <c r="V12" i="26"/>
  <c r="U12" i="26"/>
  <c r="U11" i="26"/>
  <c r="U4" i="26"/>
  <c r="P19" i="26"/>
  <c r="P21" i="26" s="1"/>
  <c r="T14" i="26" s="1"/>
  <c r="P16" i="26"/>
  <c r="P8" i="26"/>
  <c r="S56" i="26"/>
  <c r="S47" i="26"/>
  <c r="V43" i="26"/>
  <c r="U43" i="26"/>
  <c r="V42" i="26"/>
  <c r="U42" i="26"/>
  <c r="U41" i="26"/>
  <c r="U34" i="26"/>
  <c r="P49" i="26"/>
  <c r="P51" i="26" s="1"/>
  <c r="T44" i="26" s="1"/>
  <c r="P46" i="26"/>
  <c r="P38" i="26"/>
  <c r="O5" i="20"/>
  <c r="O65" i="23"/>
  <c r="U101" i="27" l="1"/>
  <c r="P106" i="27"/>
  <c r="V103" i="27"/>
  <c r="G120" i="27"/>
  <c r="H120" i="27" s="1"/>
  <c r="G123" i="27"/>
  <c r="H123" i="27" s="1"/>
  <c r="G121" i="27"/>
  <c r="H121" i="27" s="1"/>
  <c r="G125" i="27"/>
  <c r="H125" i="27" s="1"/>
  <c r="V92" i="27"/>
  <c r="V93" i="27" s="1"/>
  <c r="F105" i="27"/>
  <c r="G122" i="27"/>
  <c r="H122" i="27" s="1"/>
  <c r="G126" i="27"/>
  <c r="H126" i="27" s="1"/>
  <c r="F117" i="27"/>
  <c r="G119" i="27"/>
  <c r="U92" i="27"/>
  <c r="U93" i="27" s="1"/>
  <c r="U95" i="27"/>
  <c r="P105" i="27"/>
  <c r="G124" i="27"/>
  <c r="H124" i="27" s="1"/>
  <c r="U103" i="27"/>
  <c r="G39" i="27"/>
  <c r="H39" i="27" s="1"/>
  <c r="F31" i="27"/>
  <c r="G38" i="27"/>
  <c r="H38" i="27" s="1"/>
  <c r="U60" i="27"/>
  <c r="F64" i="27"/>
  <c r="F19" i="27"/>
  <c r="G33" i="27"/>
  <c r="U51" i="27"/>
  <c r="U52" i="27" s="1"/>
  <c r="G43" i="27"/>
  <c r="H43" i="27" s="1"/>
  <c r="G35" i="27"/>
  <c r="H35" i="27" s="1"/>
  <c r="U62" i="27"/>
  <c r="G42" i="27"/>
  <c r="H42" i="27" s="1"/>
  <c r="G83" i="27"/>
  <c r="H83" i="27" s="1"/>
  <c r="V6" i="27"/>
  <c r="V7" i="27" s="1"/>
  <c r="V51" i="27"/>
  <c r="V52" i="27" s="1"/>
  <c r="G81" i="27"/>
  <c r="H81" i="27" s="1"/>
  <c r="G84" i="27"/>
  <c r="H84" i="27" s="1"/>
  <c r="G80" i="27"/>
  <c r="H80" i="27" s="1"/>
  <c r="G78" i="27"/>
  <c r="H78" i="27" s="1"/>
  <c r="G82" i="27"/>
  <c r="H82" i="27" s="1"/>
  <c r="G85" i="27"/>
  <c r="H85" i="27" s="1"/>
  <c r="P64" i="27"/>
  <c r="P68" i="27" s="1"/>
  <c r="G79" i="27"/>
  <c r="H79" i="27" s="1"/>
  <c r="U55" i="27"/>
  <c r="F76" i="27"/>
  <c r="U54" i="27"/>
  <c r="S84" i="28"/>
  <c r="U9" i="28"/>
  <c r="N71" i="28"/>
  <c r="V65" i="28"/>
  <c r="V66" i="28" s="1"/>
  <c r="N70" i="28"/>
  <c r="V75" i="28"/>
  <c r="P78" i="28"/>
  <c r="U65" i="28"/>
  <c r="U66" i="28" s="1"/>
  <c r="P79" i="28"/>
  <c r="U76" i="28"/>
  <c r="U77" i="28" s="1"/>
  <c r="U75" i="28"/>
  <c r="P52" i="28"/>
  <c r="T47" i="28" s="1"/>
  <c r="U47" i="28"/>
  <c r="S54" i="28" s="1"/>
  <c r="U39" i="28"/>
  <c r="U36" i="28"/>
  <c r="U38" i="28" s="1"/>
  <c r="U40" i="28"/>
  <c r="U11" i="28"/>
  <c r="U18" i="28"/>
  <c r="P23" i="28"/>
  <c r="U36" i="26"/>
  <c r="V36" i="26" s="1"/>
  <c r="U6" i="29"/>
  <c r="V6" i="29" s="1"/>
  <c r="U6" i="27"/>
  <c r="U7" i="27" s="1"/>
  <c r="V17" i="27"/>
  <c r="U17" i="27"/>
  <c r="P19" i="27"/>
  <c r="U15" i="27"/>
  <c r="P23" i="27"/>
  <c r="T18" i="27" s="1"/>
  <c r="U10" i="27"/>
  <c r="U9" i="27"/>
  <c r="U14" i="26"/>
  <c r="T22" i="26" s="1"/>
  <c r="S23" i="26" s="1"/>
  <c r="U5" i="26"/>
  <c r="V5" i="26" s="1"/>
  <c r="V7" i="26" s="1"/>
  <c r="U6" i="26"/>
  <c r="V6" i="26" s="1"/>
  <c r="U44" i="26"/>
  <c r="T52" i="26" s="1"/>
  <c r="S53" i="26" s="1"/>
  <c r="U35" i="26"/>
  <c r="V35" i="26" s="1"/>
  <c r="V37" i="26" s="1"/>
  <c r="O325" i="22"/>
  <c r="M18" i="25"/>
  <c r="M17" i="25"/>
  <c r="M16" i="25"/>
  <c r="O323" i="22"/>
  <c r="O307" i="22"/>
  <c r="M19" i="25"/>
  <c r="V16" i="25"/>
  <c r="P109" i="27" l="1"/>
  <c r="T104" i="27" s="1"/>
  <c r="H119" i="27"/>
  <c r="H117" i="27" s="1"/>
  <c r="F106" i="27" s="1"/>
  <c r="U104" i="27" s="1"/>
  <c r="T110" i="27" s="1"/>
  <c r="G117" i="27"/>
  <c r="G31" i="27"/>
  <c r="H33" i="27"/>
  <c r="H31" i="27" s="1"/>
  <c r="T63" i="27"/>
  <c r="V55" i="27"/>
  <c r="V54" i="27"/>
  <c r="G76" i="27"/>
  <c r="H76" i="27"/>
  <c r="F65" i="27" s="1"/>
  <c r="U63" i="27" s="1"/>
  <c r="T69" i="27" s="1"/>
  <c r="U15" i="26"/>
  <c r="U69" i="28"/>
  <c r="V69" i="28" s="1"/>
  <c r="P82" i="28"/>
  <c r="T77" i="28"/>
  <c r="U68" i="28"/>
  <c r="U70" i="28"/>
  <c r="V39" i="28"/>
  <c r="V40" i="28"/>
  <c r="V11" i="28"/>
  <c r="V12" i="28" s="1"/>
  <c r="U19" i="28" s="1"/>
  <c r="T18" i="28"/>
  <c r="V9" i="27"/>
  <c r="V11" i="27" s="1"/>
  <c r="V10" i="27"/>
  <c r="U45" i="26"/>
  <c r="M12" i="25"/>
  <c r="O208" i="22"/>
  <c r="O70" i="23"/>
  <c r="O71" i="23" s="1"/>
  <c r="V95" i="27" l="1"/>
  <c r="V96" i="27"/>
  <c r="V97" i="27" s="1"/>
  <c r="U105" i="27" s="1"/>
  <c r="S111" i="27"/>
  <c r="S112" i="27"/>
  <c r="S71" i="27"/>
  <c r="S70" i="27"/>
  <c r="V56" i="27"/>
  <c r="U64" i="27" s="1"/>
  <c r="V70" i="28"/>
  <c r="V71" i="28" s="1"/>
  <c r="U78" i="28" s="1"/>
  <c r="V41" i="28"/>
  <c r="U48" i="28" s="1"/>
  <c r="V7" i="29"/>
  <c r="U19" i="29" s="1"/>
  <c r="F20" i="27"/>
  <c r="U18" i="27" s="1"/>
  <c r="C327" i="22"/>
  <c r="B169" i="22"/>
  <c r="B218" i="22"/>
  <c r="B270" i="22"/>
  <c r="C326" i="22"/>
  <c r="O295" i="22"/>
  <c r="O294" i="22"/>
  <c r="O293" i="22"/>
  <c r="U339" i="22"/>
  <c r="U338" i="22"/>
  <c r="U337" i="22"/>
  <c r="U336" i="22"/>
  <c r="Z295" i="22" s="1"/>
  <c r="B331" i="22"/>
  <c r="O322" i="22"/>
  <c r="B319" i="22"/>
  <c r="M314" i="22"/>
  <c r="B318" i="22"/>
  <c r="N312" i="22"/>
  <c r="O308" i="22"/>
  <c r="N308" i="22"/>
  <c r="L311" i="22"/>
  <c r="B322" i="22" s="1"/>
  <c r="N307" i="22"/>
  <c r="AA301" i="22"/>
  <c r="O301" i="22"/>
  <c r="C319" i="22" s="1"/>
  <c r="Z300" i="22"/>
  <c r="O300" i="22"/>
  <c r="C318" i="22" s="1"/>
  <c r="O298" i="22"/>
  <c r="L317" i="22" s="1"/>
  <c r="B323" i="22" s="1"/>
  <c r="O299" i="22"/>
  <c r="O319" i="22" s="1"/>
  <c r="AB291" i="22"/>
  <c r="K289" i="22"/>
  <c r="O243" i="22"/>
  <c r="U287" i="22"/>
  <c r="U286" i="22"/>
  <c r="U285" i="22"/>
  <c r="U284" i="22"/>
  <c r="AA244" i="22" s="1"/>
  <c r="B274" i="22"/>
  <c r="O270" i="22"/>
  <c r="B263" i="22"/>
  <c r="M262" i="22"/>
  <c r="B262" i="22"/>
  <c r="N260" i="22"/>
  <c r="O256" i="22"/>
  <c r="N256" i="22"/>
  <c r="O255" i="22"/>
  <c r="L259" i="22" s="1"/>
  <c r="B266" i="22" s="1"/>
  <c r="N255" i="22"/>
  <c r="AA249" i="22"/>
  <c r="O249" i="22"/>
  <c r="C263" i="22" s="1"/>
  <c r="Z248" i="22"/>
  <c r="O248" i="22"/>
  <c r="C262" i="22" s="1"/>
  <c r="O246" i="22"/>
  <c r="L265" i="22" s="1"/>
  <c r="B267" i="22" s="1"/>
  <c r="O242" i="22"/>
  <c r="O247" i="22" s="1"/>
  <c r="O267" i="22" s="1"/>
  <c r="O241" i="22"/>
  <c r="AB239" i="22"/>
  <c r="K237" i="22"/>
  <c r="O191" i="22"/>
  <c r="O190" i="22"/>
  <c r="O195" i="22" s="1"/>
  <c r="O215" i="22" s="1"/>
  <c r="O189" i="22"/>
  <c r="AB187" i="22"/>
  <c r="U235" i="22"/>
  <c r="U234" i="22"/>
  <c r="U233" i="22"/>
  <c r="U232" i="22"/>
  <c r="AA192" i="22" s="1"/>
  <c r="B222" i="22"/>
  <c r="O218" i="22"/>
  <c r="B211" i="22"/>
  <c r="M210" i="22"/>
  <c r="B210" i="22"/>
  <c r="N208" i="22"/>
  <c r="L207" i="22"/>
  <c r="B214" i="22" s="1"/>
  <c r="O204" i="22"/>
  <c r="N204" i="22"/>
  <c r="O203" i="22"/>
  <c r="N203" i="22"/>
  <c r="O202" i="22"/>
  <c r="AA197" i="22"/>
  <c r="O197" i="22"/>
  <c r="C211" i="22" s="1"/>
  <c r="Z196" i="22"/>
  <c r="O196" i="22"/>
  <c r="C210" i="22" s="1"/>
  <c r="O194" i="22"/>
  <c r="L213" i="22" s="1"/>
  <c r="B215" i="22" s="1"/>
  <c r="K185" i="22"/>
  <c r="P154" i="23"/>
  <c r="P140" i="23"/>
  <c r="B159" i="23"/>
  <c r="B147" i="23"/>
  <c r="O146" i="23"/>
  <c r="O153" i="23" s="1"/>
  <c r="O154" i="23" s="1"/>
  <c r="O155" i="23" s="1"/>
  <c r="N146" i="23"/>
  <c r="B146" i="23"/>
  <c r="O142" i="23"/>
  <c r="N142" i="23"/>
  <c r="O141" i="23"/>
  <c r="L145" i="23" s="1"/>
  <c r="B150" i="23" s="1"/>
  <c r="N141" i="23"/>
  <c r="O135" i="23"/>
  <c r="C147" i="23" s="1"/>
  <c r="O134" i="23"/>
  <c r="C146" i="23" s="1"/>
  <c r="O133" i="23"/>
  <c r="O132" i="23"/>
  <c r="L152" i="23" s="1"/>
  <c r="B151" i="23" s="1"/>
  <c r="K123" i="23"/>
  <c r="O113" i="23"/>
  <c r="B118" i="23"/>
  <c r="O105" i="23"/>
  <c r="C113" i="23" s="1"/>
  <c r="N105" i="23"/>
  <c r="B106" i="23"/>
  <c r="B105" i="23"/>
  <c r="O101" i="23"/>
  <c r="M107" i="23" s="1"/>
  <c r="N101" i="23"/>
  <c r="O100" i="23"/>
  <c r="N100" i="23"/>
  <c r="O94" i="23"/>
  <c r="C106" i="23" s="1"/>
  <c r="O93" i="23"/>
  <c r="O92" i="23"/>
  <c r="O91" i="23"/>
  <c r="O98" i="23" s="1"/>
  <c r="K82" i="23"/>
  <c r="U19" i="27" l="1"/>
  <c r="T24" i="27"/>
  <c r="AA296" i="22"/>
  <c r="B334" i="22" s="1"/>
  <c r="C334" i="22" s="1"/>
  <c r="O306" i="22"/>
  <c r="O312" i="22"/>
  <c r="O318" i="22" s="1"/>
  <c r="AA302" i="22"/>
  <c r="Z303" i="22" s="1"/>
  <c r="AA303" i="22" s="1"/>
  <c r="O324" i="22"/>
  <c r="M327" i="22" s="1"/>
  <c r="B330" i="22" s="1"/>
  <c r="AB292" i="22"/>
  <c r="AA297" i="22" s="1"/>
  <c r="O254" i="22"/>
  <c r="O260" i="22"/>
  <c r="M261" i="22" s="1"/>
  <c r="B277" i="22"/>
  <c r="C277" i="22" s="1"/>
  <c r="AA250" i="22"/>
  <c r="Z251" i="22" s="1"/>
  <c r="AA251" i="22" s="1"/>
  <c r="O271" i="22"/>
  <c r="O272" i="22" s="1"/>
  <c r="M275" i="22" s="1"/>
  <c r="B273" i="22" s="1"/>
  <c r="AB240" i="22"/>
  <c r="AA245" i="22" s="1"/>
  <c r="Z246" i="22" s="1"/>
  <c r="AA246" i="22" s="1"/>
  <c r="Z243" i="22"/>
  <c r="M209" i="22"/>
  <c r="B225" i="22"/>
  <c r="C225" i="22" s="1"/>
  <c r="AA198" i="22"/>
  <c r="Z199" i="22" s="1"/>
  <c r="AA199" i="22" s="1"/>
  <c r="O219" i="22"/>
  <c r="O220" i="22" s="1"/>
  <c r="M223" i="22" s="1"/>
  <c r="B221" i="22" s="1"/>
  <c r="AB188" i="22"/>
  <c r="AA193" i="22" s="1"/>
  <c r="Z194" i="22" s="1"/>
  <c r="AA194" i="22" s="1"/>
  <c r="Z191" i="22"/>
  <c r="O156" i="23"/>
  <c r="C154" i="23"/>
  <c r="L158" i="23"/>
  <c r="C162" i="23" s="1"/>
  <c r="B162" i="23"/>
  <c r="C155" i="23"/>
  <c r="O157" i="23"/>
  <c r="M161" i="23" s="1"/>
  <c r="B158" i="23" s="1"/>
  <c r="O139" i="23"/>
  <c r="M147" i="23"/>
  <c r="M148" i="23"/>
  <c r="L111" i="23"/>
  <c r="B110" i="23" s="1"/>
  <c r="O115" i="23"/>
  <c r="L104" i="23"/>
  <c r="B109" i="23" s="1"/>
  <c r="O112" i="23"/>
  <c r="O114" i="23" s="1"/>
  <c r="C105" i="23"/>
  <c r="M106" i="23"/>
  <c r="B176" i="22"/>
  <c r="B173" i="22"/>
  <c r="B172" i="22"/>
  <c r="B166" i="22"/>
  <c r="B165" i="22"/>
  <c r="O142" i="22"/>
  <c r="O141" i="22"/>
  <c r="O140" i="22"/>
  <c r="O170" i="22"/>
  <c r="O171" i="22" s="1"/>
  <c r="M174" i="22" s="1"/>
  <c r="O169" i="22"/>
  <c r="L164" i="22"/>
  <c r="M161" i="22"/>
  <c r="N159" i="22"/>
  <c r="O155" i="22"/>
  <c r="N155" i="22"/>
  <c r="O154" i="22"/>
  <c r="L158" i="22" s="1"/>
  <c r="N154" i="22"/>
  <c r="O148" i="22"/>
  <c r="O147" i="22"/>
  <c r="O146" i="22"/>
  <c r="O166" i="22" s="1"/>
  <c r="O145" i="22"/>
  <c r="O153" i="22" s="1"/>
  <c r="K136" i="22"/>
  <c r="B124" i="22"/>
  <c r="B123" i="22"/>
  <c r="B120" i="22"/>
  <c r="B117" i="22"/>
  <c r="B116" i="22"/>
  <c r="C112" i="22"/>
  <c r="B127" i="22"/>
  <c r="O95" i="22"/>
  <c r="O94" i="22"/>
  <c r="O93" i="22"/>
  <c r="O112" i="22" s="1"/>
  <c r="O118" i="22" s="1"/>
  <c r="O122" i="22"/>
  <c r="M114" i="22"/>
  <c r="N112" i="22"/>
  <c r="O108" i="22"/>
  <c r="N108" i="22"/>
  <c r="O107" i="22"/>
  <c r="L111" i="22" s="1"/>
  <c r="N107" i="22"/>
  <c r="O101" i="22"/>
  <c r="O100" i="22"/>
  <c r="O99" i="22"/>
  <c r="O119" i="22" s="1"/>
  <c r="O98" i="22"/>
  <c r="O123" i="22" s="1"/>
  <c r="O124" i="22" s="1"/>
  <c r="K89" i="22"/>
  <c r="B77" i="22"/>
  <c r="B76" i="22"/>
  <c r="B73" i="22"/>
  <c r="B70" i="22"/>
  <c r="B69" i="22"/>
  <c r="O24" i="22"/>
  <c r="O75" i="22"/>
  <c r="O72" i="22"/>
  <c r="M67" i="22"/>
  <c r="O65" i="22"/>
  <c r="N65" i="22"/>
  <c r="O61" i="22"/>
  <c r="N61" i="22"/>
  <c r="O60" i="22"/>
  <c r="L64" i="22" s="1"/>
  <c r="N60" i="22"/>
  <c r="O54" i="22"/>
  <c r="O53" i="22"/>
  <c r="O52" i="22"/>
  <c r="O51" i="22"/>
  <c r="O59" i="22" s="1"/>
  <c r="K42" i="22"/>
  <c r="B36" i="22"/>
  <c r="B32" i="22"/>
  <c r="B29" i="22"/>
  <c r="C25" i="22"/>
  <c r="C24" i="22"/>
  <c r="B25" i="22"/>
  <c r="B24" i="22"/>
  <c r="O34" i="22"/>
  <c r="M26" i="22"/>
  <c r="N24" i="22"/>
  <c r="O20" i="22"/>
  <c r="N20" i="22"/>
  <c r="O19" i="22"/>
  <c r="N19" i="22"/>
  <c r="O13" i="22"/>
  <c r="O12" i="22"/>
  <c r="O11" i="22"/>
  <c r="O31" i="22" s="1"/>
  <c r="O10" i="22"/>
  <c r="O18" i="22" s="1"/>
  <c r="K1" i="22"/>
  <c r="Z298" i="22" l="1"/>
  <c r="AA298" i="22" s="1"/>
  <c r="M313" i="22"/>
  <c r="O266" i="22"/>
  <c r="O214" i="22"/>
  <c r="C114" i="23"/>
  <c r="O116" i="23"/>
  <c r="M120" i="23" s="1"/>
  <c r="B117" i="23" s="1"/>
  <c r="L117" i="23"/>
  <c r="C121" i="23" s="1"/>
  <c r="B121" i="23"/>
  <c r="O159" i="22"/>
  <c r="M160" i="22" s="1"/>
  <c r="M113" i="22"/>
  <c r="M127" i="22"/>
  <c r="O106" i="22"/>
  <c r="L117" i="22"/>
  <c r="M66" i="22"/>
  <c r="L70" i="22"/>
  <c r="O76" i="22"/>
  <c r="O77" i="22" s="1"/>
  <c r="M80" i="22" s="1"/>
  <c r="O71" i="22"/>
  <c r="L23" i="22"/>
  <c r="B28" i="22" s="1"/>
  <c r="M25" i="22"/>
  <c r="O30" i="22"/>
  <c r="L29" i="22"/>
  <c r="O35" i="22"/>
  <c r="O36" i="22" s="1"/>
  <c r="M39" i="22" s="1"/>
  <c r="B35" i="22" s="1"/>
  <c r="D19" i="24"/>
  <c r="D20" i="24" s="1"/>
  <c r="D21" i="24" s="1"/>
  <c r="U183" i="22"/>
  <c r="U182" i="22"/>
  <c r="U181" i="22"/>
  <c r="U180" i="22"/>
  <c r="AB142" i="22" s="1"/>
  <c r="B162" i="22"/>
  <c r="B161" i="22"/>
  <c r="AC148" i="22"/>
  <c r="C162" i="22"/>
  <c r="AB147" i="22"/>
  <c r="C161" i="22"/>
  <c r="AB139" i="22"/>
  <c r="AC144" i="22" s="1"/>
  <c r="AB138" i="22"/>
  <c r="B66" i="22"/>
  <c r="B65" i="22"/>
  <c r="C66" i="22"/>
  <c r="C65" i="22"/>
  <c r="B113" i="22"/>
  <c r="B112" i="22"/>
  <c r="B75" i="23"/>
  <c r="B65" i="23"/>
  <c r="B64" i="23"/>
  <c r="O60" i="23"/>
  <c r="N60" i="23"/>
  <c r="O59" i="23"/>
  <c r="N59" i="23"/>
  <c r="O57" i="23"/>
  <c r="O72" i="23"/>
  <c r="L73" i="23" s="1"/>
  <c r="N65" i="23"/>
  <c r="L64" i="23" s="1"/>
  <c r="B68" i="23" s="1"/>
  <c r="O53" i="23"/>
  <c r="C65" i="23" s="1"/>
  <c r="O52" i="23"/>
  <c r="C64" i="23" s="1"/>
  <c r="O51" i="23"/>
  <c r="O50" i="23"/>
  <c r="K41" i="23"/>
  <c r="B35" i="23"/>
  <c r="AC101" i="22"/>
  <c r="U133" i="22"/>
  <c r="U134" i="22"/>
  <c r="U132" i="22"/>
  <c r="U131" i="22"/>
  <c r="AB95" i="22" s="1"/>
  <c r="B25" i="23"/>
  <c r="B24" i="23"/>
  <c r="O25" i="23"/>
  <c r="B31" i="23" s="1"/>
  <c r="O20" i="23"/>
  <c r="N20" i="23"/>
  <c r="O19" i="23"/>
  <c r="N19" i="23"/>
  <c r="N25" i="23"/>
  <c r="O13" i="23"/>
  <c r="C25" i="23" s="1"/>
  <c r="O12" i="23"/>
  <c r="M36" i="23" s="1"/>
  <c r="O10" i="23"/>
  <c r="O17" i="23" s="1"/>
  <c r="O11" i="23"/>
  <c r="K1" i="23"/>
  <c r="AB100" i="22"/>
  <c r="C113" i="22"/>
  <c r="AB91" i="22"/>
  <c r="C21" i="24" l="1"/>
  <c r="O165" i="22"/>
  <c r="AC143" i="22"/>
  <c r="AB145" i="22" s="1"/>
  <c r="AC145" i="22" s="1"/>
  <c r="AC149" i="22"/>
  <c r="AB150" i="22" s="1"/>
  <c r="AC150" i="22" s="1"/>
  <c r="C176" i="22"/>
  <c r="L24" i="23"/>
  <c r="B28" i="23" s="1"/>
  <c r="C78" i="23"/>
  <c r="B78" i="23"/>
  <c r="B71" i="23"/>
  <c r="M67" i="23"/>
  <c r="M76" i="23"/>
  <c r="B74" i="23" s="1"/>
  <c r="M66" i="23"/>
  <c r="C24" i="23"/>
  <c r="AC96" i="22"/>
  <c r="C127" i="22" s="1"/>
  <c r="AC102" i="22"/>
  <c r="AB103" i="22" s="1"/>
  <c r="AC103" i="22" s="1"/>
  <c r="B34" i="23"/>
  <c r="M27" i="23"/>
  <c r="M26" i="23" l="1"/>
  <c r="O30" i="23"/>
  <c r="O31" i="23" s="1"/>
  <c r="O32" i="23" s="1"/>
  <c r="L33" i="23" l="1"/>
  <c r="C38" i="23" s="1"/>
  <c r="B38" i="23"/>
  <c r="O8" i="20" l="1"/>
  <c r="O3" i="20"/>
  <c r="O4" i="20" s="1"/>
  <c r="AB92" i="22" l="1"/>
  <c r="AC97" i="22" s="1"/>
  <c r="AB98" i="22" s="1"/>
  <c r="AC98" i="22" s="1"/>
</calcChain>
</file>

<file path=xl/sharedStrings.xml><?xml version="1.0" encoding="utf-8"?>
<sst xmlns="http://schemas.openxmlformats.org/spreadsheetml/2006/main" count="1472" uniqueCount="375">
  <si>
    <t>Ex5.</t>
  </si>
  <si>
    <t xml:space="preserve">(a) State the null hypothesis and the alternate hypothesis. </t>
  </si>
  <si>
    <t xml:space="preserve">(b) State the decision rule. </t>
  </si>
  <si>
    <t xml:space="preserve">(c) Compute the value of the test statistic. </t>
  </si>
  <si>
    <t xml:space="preserve">(d) What is your decision regarding H0? </t>
  </si>
  <si>
    <t>(e) What is the p-value? Interpret it.</t>
  </si>
  <si>
    <t>Ch. 11: 3, 5, 15, 19, 21, 25, 27, 33, 37, 41</t>
  </si>
  <si>
    <t>Ch. 12: 7, 9, 13, 15, 35</t>
  </si>
  <si>
    <t>Ch. 13: 3, 11, 15, 17, 29, 33, 37, 45, 53, 55</t>
  </si>
  <si>
    <t>Ch. 15: 3, 18, 21, 27</t>
  </si>
  <si>
    <t>H0</t>
  </si>
  <si>
    <t>H1</t>
  </si>
  <si>
    <t>mu</t>
  </si>
  <si>
    <t>sigma</t>
  </si>
  <si>
    <t>x-bar</t>
  </si>
  <si>
    <t>n</t>
  </si>
  <si>
    <t>significance level</t>
  </si>
  <si>
    <t>z</t>
  </si>
  <si>
    <t>pop mean</t>
  </si>
  <si>
    <t>pop std dev</t>
  </si>
  <si>
    <t>sample mean</t>
  </si>
  <si>
    <t>test statistic</t>
  </si>
  <si>
    <t>sample size</t>
  </si>
  <si>
    <t>Confidence Level</t>
  </si>
  <si>
    <t>Decision rule</t>
  </si>
  <si>
    <t>p-value</t>
  </si>
  <si>
    <t>z for p-value</t>
  </si>
  <si>
    <t>Ex7.</t>
  </si>
  <si>
    <t>A recent national survey found that high school students watched an average (mean) of 6.8 movies per month with a population standard deviation of 1.8. The distribution of number of movies watched per month follows the normal distribution. A random sample of 36 college students revealed that the mean number of movies watched last month was 6.2. At the .05 significance level, can we conclude that college students watch fewer movies a month than high school students?</t>
  </si>
  <si>
    <t>z-value</t>
  </si>
  <si>
    <t>Row</t>
  </si>
  <si>
    <t>Col</t>
  </si>
  <si>
    <t>Area under normal curve</t>
  </si>
  <si>
    <t>percentile</t>
  </si>
  <si>
    <t>Df = n-1</t>
  </si>
  <si>
    <t>Tail</t>
  </si>
  <si>
    <t>left</t>
  </si>
  <si>
    <t>NormCurve Area for critical value</t>
  </si>
  <si>
    <t>NormCurve Area for p-value</t>
  </si>
  <si>
    <t>both</t>
  </si>
  <si>
    <t>Ex11.</t>
  </si>
  <si>
    <t>The Rocky Mountain district sales manager of Rath Publishing Inc., a college textbook publishing company, claims that the sales representatives make an average of 40 sales calls per week on professors. Several reps say that this estimate is too low. To investigate, a random sample of 28 sales representatives reveals that the mean number of calls made last week was 42. The standard deviation of the sample is 2.1 calls. Using the .05 significance level, can we conclude that the mean number of calls per salesperson per week is more than 40?</t>
  </si>
  <si>
    <t>sample std dev</t>
  </si>
  <si>
    <t>s</t>
  </si>
  <si>
    <t>right</t>
  </si>
  <si>
    <t>df</t>
  </si>
  <si>
    <t>degrees freedom</t>
  </si>
  <si>
    <t>Ex13.</t>
  </si>
  <si>
    <t>The mean income per person in the United States is $60,000, and the distribution of incomes follows a normal distribution. A random sample of 10 residents of Wilmington, Delaware, had a mean of $70,000 with a standard deviation of $10,000. At the .05 level of significance, is that enough evidence to conclude that residents of Wilmington, Delaware, have more income than the national average?</t>
  </si>
  <si>
    <t>Critical Value of test statistic</t>
  </si>
  <si>
    <t>Ex17.</t>
  </si>
  <si>
    <t>liters per day</t>
  </si>
  <si>
    <t>Dummy</t>
  </si>
  <si>
    <t>t-Test: Two-Sample Assuming Unequal Variances</t>
  </si>
  <si>
    <t>Mean</t>
  </si>
  <si>
    <t>Variance</t>
  </si>
  <si>
    <t>Observations</t>
  </si>
  <si>
    <t>Hypothesized Mean Difference</t>
  </si>
  <si>
    <t>t Stat</t>
  </si>
  <si>
    <t>P(T&lt;=t) one-tail</t>
  </si>
  <si>
    <t>t Critical one-tail</t>
  </si>
  <si>
    <t>P(T&lt;=t) two-tail</t>
  </si>
  <si>
    <t>t Critical two-tail</t>
  </si>
  <si>
    <t>alpha</t>
  </si>
  <si>
    <t>Data &gt; Data Analysis &gt; t-Test: Two-Sample Assuming Unequal Variances</t>
  </si>
  <si>
    <t>Identify Variables for Data Analysis Tool</t>
  </si>
  <si>
    <t>Alpha</t>
  </si>
  <si>
    <t>Manual Method</t>
  </si>
  <si>
    <t>Excel Method</t>
  </si>
  <si>
    <t>Interpret the Output</t>
  </si>
  <si>
    <t>Evaluate the decision statements.</t>
  </si>
  <si>
    <t>Gather inputs from the question</t>
  </si>
  <si>
    <t>alternative hypothesis</t>
  </si>
  <si>
    <t>null hypothesis</t>
  </si>
  <si>
    <t>critical value</t>
  </si>
  <si>
    <t>s-squared</t>
  </si>
  <si>
    <t>At the .01 significance level, can we conclude that water consumption has increased?</t>
  </si>
  <si>
    <t>Calculate and interpret the p-value.</t>
  </si>
  <si>
    <t>lookup z or t-table</t>
  </si>
  <si>
    <t>Find the Rejection Range</t>
  </si>
  <si>
    <t>PROBLEM</t>
  </si>
  <si>
    <t>SOLUTION</t>
  </si>
  <si>
    <t>t-value</t>
  </si>
  <si>
    <t>Conclude that water consumption has increased</t>
  </si>
  <si>
    <t>Find the p-value (only known sigma cases)</t>
  </si>
  <si>
    <t>lookup on z-table</t>
  </si>
  <si>
    <t>The manufacturer of the X-15 steel-belted radial truck tire claims that the mean mileage the tire can be driven before the tread wears out is 60,000 miles. Assume the mileage wear follows the normal distribution and the standard deviation of the distribution is 5,000 miles. Crosset Truck Company bought 48 tires and found that the mean mileage for its trucks is 59,500 miles. Is Crosset’s experience different from that claimed by the manufacturer at the .05 significance level?</t>
  </si>
  <si>
    <t>Crosset's experience is not different from that claimed by the manufacturer at the .05 significance level</t>
  </si>
  <si>
    <t>Tail(s)</t>
  </si>
  <si>
    <t>The amount of water consumed each day by a healthy adult follows a normal distribution with a mean of 1.4 liters. A health campaign promotes the consumption of at least 2.0 liters per day.
A sample of 10 adults after the campaign shows the following consumption in liters:</t>
  </si>
  <si>
    <t>We can conclude that college students watch fewer movies a month than high school students</t>
  </si>
  <si>
    <t>lookup t-table</t>
  </si>
  <si>
    <t>Ex19.</t>
  </si>
  <si>
    <t xml:space="preserve">A Washington, D.C., “think tank” announces the typical teenager sent 67 text messages per day in 2017. To update that estimate, you phone a sample of 12 teenagers and ask them how many text messages they sent the previous day. Their responses were:
</t>
  </si>
  <si>
    <t>At the .05 level, can you conclude that the mean number is greater than 67? Compute the p-value and describe what it tells you.</t>
  </si>
  <si>
    <t>text messages per day</t>
  </si>
  <si>
    <t>Add a dummy variable next to sample data:</t>
  </si>
  <si>
    <t>Selected Mean</t>
  </si>
  <si>
    <t>Probability of Type II Error</t>
  </si>
  <si>
    <t>Power of a Test</t>
  </si>
  <si>
    <t>Table 10-3</t>
  </si>
  <si>
    <t>Ex21.</t>
  </si>
  <si>
    <t>Refer to Table 10–3 and the example just completed. With n = 100, σ = 400, x-bar_c = 9,922, " and μ1 = 9,880, verify that the probability of a Type II error is .1469."</t>
  </si>
  <si>
    <t>area under NormCurve</t>
  </si>
  <si>
    <t>t for p-value</t>
  </si>
  <si>
    <t>lower p-value</t>
  </si>
  <si>
    <t>upper p-value</t>
  </si>
  <si>
    <t>Decision rule via critical value method</t>
  </si>
  <si>
    <t>Decision rule via p-value method</t>
  </si>
  <si>
    <t>p-value &lt; alpha</t>
  </si>
  <si>
    <t xml:space="preserve">(b) State the decision rules. </t>
  </si>
  <si>
    <t>Conclude that residents of Wilmington, Delaware, have more income than the national average</t>
  </si>
  <si>
    <t>Conclude that the mean number of calls per salesperson per week is more than 40</t>
  </si>
  <si>
    <t>According to the local union president, the mean gross income of plumbers in the Salt Lake City area follows the normal probability distribution with a mean of $45,000 and a population standard deviation of $3,000. A recent investigative reporter for KYAK TV found, for a sample of 120 plumbers, the mean gross income was $45,500. At the .10 significance level, is it reasonable to conclude that the mean income is not equal to $45,000? Determine the p-value.</t>
  </si>
  <si>
    <t>Ex25.</t>
  </si>
  <si>
    <t>We can conclude that the mean income is not $45,000.</t>
  </si>
  <si>
    <t>Ex27.</t>
  </si>
  <si>
    <t>A new weight-watching company, Weight Reducers International, advertises that those who join will lose an average of 10 pounds after the first 2 weeks. The population standard deviation is 2.8 pounds. A random sample of 50 people who joined the weight reduction program revealed a mean loss of 9 pounds. At the .05 level of significance, can we conclude that those joining Weight Reducers will lose less than 10 pounds? Determine the p-value.</t>
  </si>
  <si>
    <t>We conclude that those joining Weight Reducers will lose less than 10 pounds.</t>
  </si>
  <si>
    <t>Ex33.</t>
  </si>
  <si>
    <t>interest payments</t>
  </si>
  <si>
    <t>A 2019 survey of American households with two or more children indicated the mean annual interest paid on household debt was $8,000. A sample of 12 households reported the following annual paid interest. At the .05 significance level is it reasonable to conclude that these households paid less than $8,000 of interest per year?</t>
  </si>
  <si>
    <t>Conclude that these households paid less than $8,000 of interest per year</t>
  </si>
  <si>
    <t>Ex37.</t>
  </si>
  <si>
    <t>An Etsy store receives an average of 6.5 returns per day from online shoppers. For a sample of 12 days, it received the following numbers of returns.</t>
  </si>
  <si>
    <t>At the .01 significance level, can we conclude the mean number of returns is less than 6.5?</t>
  </si>
  <si>
    <t>returns</t>
  </si>
  <si>
    <t>We cannot conclude the mean number of returns is less than 6.5</t>
  </si>
  <si>
    <t>Ex41.</t>
  </si>
  <si>
    <t>Many grocery stores and large retailers such as Kroger and Walmart have installed self-checkout systems so shoppers can scan their own items and cash out themselves. Listed is the number of customers using the service for a sample of 15 days at a Walmart location.</t>
  </si>
  <si>
    <t>Is it reasonable to conclude that the mean number of customers using the self-checkout system is more than 100 per day? Use the .05 significance level.</t>
  </si>
  <si>
    <t>using self-checkout</t>
  </si>
  <si>
    <t>It is reasonable to conclude that the mean number of customers using the self-checkout system is more than 100 per day</t>
  </si>
  <si>
    <t>Type II Error</t>
  </si>
  <si>
    <t>Ch. 10: 21</t>
  </si>
  <si>
    <t>Topic</t>
  </si>
  <si>
    <t>Exercises</t>
  </si>
  <si>
    <t>Ch. 10: 5, 7, 25, 27</t>
  </si>
  <si>
    <t>Ch. 10: 11, 13, 17, 19, 33, 37, 41</t>
  </si>
  <si>
    <t>Hypo Test known Sigma 1-sample</t>
  </si>
  <si>
    <t>Hypo Test unknown Sigma 1-sample</t>
  </si>
  <si>
    <t>Step 1:</t>
  </si>
  <si>
    <t>Step 2:</t>
  </si>
  <si>
    <t>Step 3:</t>
  </si>
  <si>
    <t>Step 4:</t>
  </si>
  <si>
    <t>Ex41</t>
  </si>
  <si>
    <t>Many grocery stores and large retailers such as Kroger and Walmart have installed self-checked out systems so shoppers can scan their own items and cash out themselves. How do customers like this service and how often do they use it? Listed below is the number of customers using the services for a sample of 15 days at a Walmart location.
Is it reasonable to conclude that the mean number of customers using the self-checkout system is more than 100 per day? Use 0.05 significance level.</t>
  </si>
  <si>
    <t>Population Mean (mu)</t>
  </si>
  <si>
    <t>Samples(n)</t>
  </si>
  <si>
    <t>Sample mean (Xbar)</t>
  </si>
  <si>
    <t>Sample Standard Deviation (S)</t>
  </si>
  <si>
    <t xml:space="preserve">alpha </t>
  </si>
  <si>
    <t>unknown sigma</t>
  </si>
  <si>
    <t>mu &lt;= 100</t>
  </si>
  <si>
    <t>mu &gt; 100</t>
  </si>
  <si>
    <t>right tailed</t>
  </si>
  <si>
    <t>computed t-value</t>
  </si>
  <si>
    <t>&lt; p &lt;</t>
  </si>
  <si>
    <t>Reject H0</t>
  </si>
  <si>
    <t>It is reasonable to conclude that the mean number of customers using the self-checkout system is more than 100 per day.</t>
  </si>
  <si>
    <t>p &lt; alpha</t>
  </si>
  <si>
    <t>dummy</t>
  </si>
  <si>
    <t>Hypothesized Mean</t>
  </si>
  <si>
    <t>t-Test: One-Sample</t>
  </si>
  <si>
    <t>Excel Data Analysis Method</t>
  </si>
  <si>
    <t>Data Analysis Method</t>
  </si>
  <si>
    <t>self-ckout</t>
  </si>
  <si>
    <t>=COUNT(B13:B27)</t>
  </si>
  <si>
    <t>=AVERAGE(B13:B27)</t>
  </si>
  <si>
    <t>=STDEV.S(B13:B27)</t>
  </si>
  <si>
    <t>Group 5 - p-value approach</t>
  </si>
  <si>
    <t>H0:</t>
  </si>
  <si>
    <t>Ha:</t>
  </si>
  <si>
    <t>p</t>
  </si>
  <si>
    <t>=1-T.DIST(M20,M5-1,TRUE)</t>
  </si>
  <si>
    <t>=(M20-M4)/(M21/SQRT(M5))</t>
  </si>
  <si>
    <t>=M5-1</t>
  </si>
  <si>
    <t xml:space="preserve">Data &gt; Data Analysis &gt; </t>
  </si>
  <si>
    <t>Chapter 10</t>
  </si>
  <si>
    <t>Ch. 10: 5, 7, 11, 13, 17, 19, 21, 25, 27, 33, 37, 41</t>
  </si>
  <si>
    <t>Chapter 11,12</t>
  </si>
  <si>
    <t>Veterans Day (No Class)</t>
  </si>
  <si>
    <t>Chapter 13</t>
  </si>
  <si>
    <t>Fall Break (no class)</t>
  </si>
  <si>
    <t>Chapter 15</t>
  </si>
  <si>
    <t>Final Term Chapters Review and Exam Guidance</t>
  </si>
  <si>
    <t>(10,11,12,13,15)</t>
  </si>
  <si>
    <t>Final Term Exam, Exam 3</t>
  </si>
  <si>
    <t>Ex3.</t>
  </si>
  <si>
    <t>Step 1: State the hull hypothesis and the alternative hypothesis.</t>
  </si>
  <si>
    <t>Step 2: Select the level of significance</t>
  </si>
  <si>
    <t>Step 3: Determine the test statistic</t>
  </si>
  <si>
    <t>Step 4: Formulate a decision rule</t>
  </si>
  <si>
    <t>Step 5: Make the decision regarding H0</t>
  </si>
  <si>
    <t>Step 6: Interpret the result</t>
  </si>
  <si>
    <t>SIX-STEP HYPOTHESIS-TESTING PROCEDURE</t>
  </si>
  <si>
    <t>Step 0:</t>
  </si>
  <si>
    <t>State the givens</t>
  </si>
  <si>
    <t>State the hull hypothesis and the alternative hypothesis.</t>
  </si>
  <si>
    <t>Select the level of significance</t>
  </si>
  <si>
    <t>Gibbs</t>
  </si>
  <si>
    <t>Use the six-step hypothesis-testing procedure to solve the following exercises.
Gibbs Baby Food Company wishes to compare the weight gain of infants using its brand versus its competitor’s. A sample of 40 babies using the Gibbs products revealed a mean weight gain of 7.6 pounds in the first 3 months after birth. For the Gibbs brand, the population standard deviation of the sample is 2.3 pounds. A sample of 55 babies using the competitor’s brand revealed a mean increase in weight of 8.1 pounds. The population standard deviation is 2.9 pounds. At the .05 significance level, can we conclude that babies using the Gibbs brand gained less weight? Compute the p-value and interpret it."</t>
  </si>
  <si>
    <t>Competition</t>
  </si>
  <si>
    <t>Can assume both distributions are normal?</t>
  </si>
  <si>
    <t>Formulate a decision rule</t>
  </si>
  <si>
    <t>Determine the test statistic</t>
  </si>
  <si>
    <t>Test Statisitic</t>
  </si>
  <si>
    <t>xbarg - xbarc</t>
  </si>
  <si>
    <t>sigma^2 / n</t>
  </si>
  <si>
    <t>Both population std devs are known?</t>
  </si>
  <si>
    <t>Reject H0 if</t>
  </si>
  <si>
    <t>Both Sigma are known</t>
  </si>
  <si>
    <t>Left</t>
  </si>
  <si>
    <t>Tailed</t>
  </si>
  <si>
    <t>Right</t>
  </si>
  <si>
    <t>xbarG != xbarC</t>
  </si>
  <si>
    <t>Make a decision regarding H0</t>
  </si>
  <si>
    <t>Step 5:</t>
  </si>
  <si>
    <t>Step 6:</t>
  </si>
  <si>
    <t>Interpret the Result</t>
  </si>
  <si>
    <t>babies using the Gibbs brand gained less weight</t>
  </si>
  <si>
    <t>Population Stnd Dev (sigma)</t>
  </si>
  <si>
    <t>2-sampleHypoTest BothSigmaKnown</t>
  </si>
  <si>
    <t>Use the six-step hypothesis-testing procedure to solve the following exercises.
Do married and unmarried women spend the same amount of time per week using Facebook? A random sample of 45 married women who use Facebook spent an average of 4.0 hours per week on this social media website. A random sample of 39 unmarried women who regularly use Facebook spent an average of 4.4 hours per week. Assume that the weekly Facebook time for married women has a population standard deviation of 1.2 hours, and the population standard deviation for unmarried, regular Facebook users is 1.1 hours per week. Using the .05 significance level, do married and unmarried women differ in the amount of time per week spent on Facebook? Find the p-value and interpret the result.</t>
  </si>
  <si>
    <t>Married</t>
  </si>
  <si>
    <t>Unmarried</t>
  </si>
  <si>
    <t>xbarG = xbarC</t>
  </si>
  <si>
    <t>married and unmarried women differ in the amount of time per week spent on Facebook</t>
  </si>
  <si>
    <t>Ch. 11: 3, 5</t>
  </si>
  <si>
    <t>Sigmas are unequal</t>
  </si>
  <si>
    <t>Significance Level (alpha)</t>
  </si>
  <si>
    <t>Ex15</t>
  </si>
  <si>
    <t>Assume the sample populations do not have equal standard deviations and use the .05 significance level: 
(a) determine the number of degrees of freedom and round down to the nearest integer value, 
(b) state the decision rule, 
(c) compute the value of the test statistic, and 
(d) state your decision about the null hypothesis.
A recent survey compared the costs of adoption through public and private agencies. For a sample of 16 adoptions through a public agency, the mean cost was $21,045, with a standard deviation of $835. For a sample of 18 adoptions through a private agency, the mean cost was $22,840, with a standard deviation of $1,545.</t>
  </si>
  <si>
    <t>public</t>
  </si>
  <si>
    <t>private</t>
  </si>
  <si>
    <t>Both population std devs are equal?</t>
  </si>
  <si>
    <t>xbarPrivate &gt; xbarPublic</t>
  </si>
  <si>
    <t>xbarPrivate &lt;= xbarPublic</t>
  </si>
  <si>
    <t>cost of private adoptions is higher</t>
  </si>
  <si>
    <t>Sample Stnd Dev (s)</t>
  </si>
  <si>
    <t>s^2 / n</t>
  </si>
  <si>
    <t>(s^2 / n)^2</t>
  </si>
  <si>
    <t>n - 1</t>
  </si>
  <si>
    <t>Question gives this</t>
  </si>
  <si>
    <t>Check figs in the back of the book give</t>
  </si>
  <si>
    <t>Textbook is inconsistent</t>
  </si>
  <si>
    <t>Ex19</t>
  </si>
  <si>
    <t>Ch. 11: 15</t>
  </si>
  <si>
    <t>The management of Discount Furniture, a chain of discount furniture stores in the Northeast, designed an incentive plan for salespeople. To evaluate this innovative plan, 12 salespeople were selected at random, and their weekly incomes before and after the plan were recorded.
Was there a significant increase in the typical salesperson’s weekly income due to the innovative incentive plan? Use the .05 significance level.
State the null and alternate hypotheses.
What is the p-value?
Is the null hypothesis rejected?
What is the conclusion indicated by the analysis?</t>
  </si>
  <si>
    <t>Salesperson</t>
  </si>
  <si>
    <t>Before</t>
  </si>
  <si>
    <t>After</t>
  </si>
  <si>
    <t>Sid Mahone</t>
  </si>
  <si>
    <t>Carol Quick</t>
  </si>
  <si>
    <t>Tom Jackson</t>
  </si>
  <si>
    <t>Andy Jones</t>
  </si>
  <si>
    <t>Jean Sloan</t>
  </si>
  <si>
    <t>Jack Walker</t>
  </si>
  <si>
    <t>Peg Mancuso</t>
  </si>
  <si>
    <t>Anita Loma</t>
  </si>
  <si>
    <t>John Cuso</t>
  </si>
  <si>
    <t>Carl Utz</t>
  </si>
  <si>
    <t>A. S. Kushner</t>
  </si>
  <si>
    <t>Fern Lawton</t>
  </si>
  <si>
    <t>there was a significant increase in the typical salesperson's weekly income</t>
  </si>
  <si>
    <t>Two-Sample Tests of Hypothesis: Dependent Samples</t>
  </si>
  <si>
    <t>(d - dbar)</t>
  </si>
  <si>
    <t>(d - dbar)^2</t>
  </si>
  <si>
    <t>mu_d &gt; 0</t>
  </si>
  <si>
    <t>mu_d &lt;= 0</t>
  </si>
  <si>
    <t>mu_d &lt; 0</t>
  </si>
  <si>
    <t>s-sub-d</t>
  </si>
  <si>
    <t>mu_d &gt;= 0</t>
  </si>
  <si>
    <t>d-bar</t>
  </si>
  <si>
    <t>2-sampleHypoTest Dependent Samples</t>
  </si>
  <si>
    <t>STATING THE H0 AND Ha.</t>
  </si>
  <si>
    <t>WHICH SEEMS COUNTER-INTUITIVE AND MATTERS WHEN</t>
  </si>
  <si>
    <t>MU_D &lt; 0 INDICATES AN INCREASE (MU_AFTER LARGER</t>
  </si>
  <si>
    <t>THAN MU_BEFORE)</t>
  </si>
  <si>
    <t>* NOTE</t>
  </si>
  <si>
    <t>Difference (d) *</t>
  </si>
  <si>
    <t xml:space="preserve">BA CAREFUL ON THE DIFFERENCES. WE USE BEFORE - AFTER </t>
  </si>
  <si>
    <t>Sample mean (x_bar)</t>
  </si>
  <si>
    <t>A recent study focused on the number of times men and women who live alone buy take-out dinner in a month. Assume that the distributions follow the normal probability distribution and the population standard deviations are equal. The information is summarized in the following table.</t>
  </si>
  <si>
    <t>At the .01 significance level, is there a difference in the mean number of times men and women order take-out dinners in a month?</t>
  </si>
  <si>
    <t>Men</t>
  </si>
  <si>
    <t>Women</t>
  </si>
  <si>
    <t>there is a difference in the mean number of times men and women order take-out dinners in a month</t>
  </si>
  <si>
    <t>2-sampleHypoTest UnknownSigmas</t>
  </si>
  <si>
    <t>Both Sigma are unknown but assumed equal</t>
  </si>
  <si>
    <t>xbar_men - xbar_women</t>
  </si>
  <si>
    <t>(n - 1)s^2</t>
  </si>
  <si>
    <t>s^2_pooled</t>
  </si>
  <si>
    <t>1 / n</t>
  </si>
  <si>
    <t>2-sampleHypoTest UnequalSigma</t>
  </si>
  <si>
    <t>Music streaming services are the most popular way to listen to music. Data gathered over the last 12 months show Apple Music was used by an average of 1.65 million households with a sample standard deviation of 0.56 million family units. Over the same 12 months Spotify was used by an average of 2.2 million families with a sample standard deviation of 0.30 million. Assume the population standard deviations are not the same. Using a significance level of .05, test the hypothesis of no difference in the mean number of households picking either service.</t>
  </si>
  <si>
    <t>Apple</t>
  </si>
  <si>
    <t>Spotify</t>
  </si>
  <si>
    <t>Ex27</t>
  </si>
  <si>
    <t>there is a difference in the mean number of households picking either service</t>
  </si>
  <si>
    <t>Ex33</t>
  </si>
  <si>
    <t>under 25</t>
  </si>
  <si>
    <t>over 60</t>
  </si>
  <si>
    <t>Commercial Bank and Trust Company is studying the use of its automatic teller machines (ATMs). Of particular interest is whether young adults (under 25 years) use the machines more than senior citizens. To investigate further, samples of customers under 25 years of age and customers over 60 years of age were selected. The number of ATM transactions last month was determined for each selected individual, and the results are shown in the table. At the .01 significance level, can bank management conclude that younger customers use the ATMs more?</t>
  </si>
  <si>
    <t>younger customers use the ATMs more</t>
  </si>
  <si>
    <t>https://www.hawkeslearning.com/Statistics/excel.html</t>
  </si>
  <si>
    <t>Critical Value</t>
  </si>
  <si>
    <r>
      <t xml:space="preserve">Calculate the </t>
    </r>
    <r>
      <rPr>
        <i/>
        <sz val="9"/>
        <color theme="1"/>
        <rFont val="Arial"/>
        <family val="2"/>
      </rPr>
      <t>p</t>
    </r>
    <r>
      <rPr>
        <sz val="9"/>
        <color theme="1"/>
        <rFont val="Arial"/>
        <family val="2"/>
      </rPr>
      <t>-value. Enter the appropriate formula below.</t>
    </r>
  </si>
  <si>
    <r>
      <t xml:space="preserve">a. For a left tailed test: </t>
    </r>
    <r>
      <rPr>
        <sz val="10"/>
        <color theme="1"/>
        <rFont val="Arial Unicode MS"/>
      </rPr>
      <t>=1-NORM.S.DIST(ABS(test statistic: z-value), TRUE)</t>
    </r>
  </si>
  <si>
    <r>
      <t xml:space="preserve">b. For a right tailed test: </t>
    </r>
    <r>
      <rPr>
        <sz val="10"/>
        <color theme="1"/>
        <rFont val="Arial Unicode MS"/>
      </rPr>
      <t>=NORM.S.DIST(abs(test statistic: z-value), TRUE)</t>
    </r>
  </si>
  <si>
    <r>
      <t xml:space="preserve">c. For a two-tailed test: </t>
    </r>
    <r>
      <rPr>
        <sz val="10"/>
        <color theme="1"/>
        <rFont val="Arial Unicode MS"/>
      </rPr>
      <t>=2*(1-NORM.S.DIST(ABS(test statistic: z-value), TRUE))</t>
    </r>
  </si>
  <si>
    <t>Ch. 11: 21, 25, 27, 33</t>
  </si>
  <si>
    <t>Ex37</t>
  </si>
  <si>
    <t>Lester Hollar is vice president for human resources for a large manufacturing company. In recent years, he has noticed an increase in absenteeism that he thinks is related to the general health of the employees. Four years ago, in an attempt to improve the situation, he began a fitness program in which employees exercise during their lunch hour. To evaluate the program, he selected a random sample of eight participants and found the number of days each was absent in the 6 months before the exercise program began and in the 6 months following the exercise program. Following are the results. At the .05 significance level, can he conclude that the number of absences has declined?</t>
  </si>
  <si>
    <t>Employee</t>
  </si>
  <si>
    <t>Bauman</t>
  </si>
  <si>
    <t>Briggs</t>
  </si>
  <si>
    <t>Dottellis</t>
  </si>
  <si>
    <t>Lee</t>
  </si>
  <si>
    <t>Perralt</t>
  </si>
  <si>
    <t>Rielly</t>
  </si>
  <si>
    <t>Steinmetz</t>
  </si>
  <si>
    <t>Stoltz</t>
  </si>
  <si>
    <t>the number of absences has declined</t>
  </si>
  <si>
    <t>MU_D &lt; 0 INDICATES AN DECREASE (MU_AFTER SMALLER</t>
  </si>
  <si>
    <t>An investigation of the effectiveness of an antibacterial soap in reducing operating room contamination resulted in the accompanying table. The new soap was tested in a sample of eight operating rooms in the greater Seattle area during the last year. The following table reports the contamination levels before and after the use of the soap for each operating room.</t>
  </si>
  <si>
    <t>At the .05 significance level, can we conclude the contamination measurements are lower after use of the new soap?</t>
  </si>
  <si>
    <t>A</t>
  </si>
  <si>
    <t>B</t>
  </si>
  <si>
    <t>C</t>
  </si>
  <si>
    <t>D</t>
  </si>
  <si>
    <t>E</t>
  </si>
  <si>
    <t>F</t>
  </si>
  <si>
    <t>G</t>
  </si>
  <si>
    <t>H</t>
  </si>
  <si>
    <t>the contamination measurements are lower after use of the new soap</t>
  </si>
  <si>
    <t>Ch. 11: 19, 37, 41</t>
  </si>
  <si>
    <t>Ex 7</t>
  </si>
  <si>
    <t>The following are four observations collected from each of three treatments. Test the hypothesis that the treatment means are equal. Use the .05 significance level.</t>
  </si>
  <si>
    <t>Treatment 1</t>
  </si>
  <si>
    <t>Treatment 2</t>
  </si>
  <si>
    <t>Treatment 3</t>
  </si>
  <si>
    <t>State the null and the alternate hypotheses.</t>
  </si>
  <si>
    <t>What is the decision rule?</t>
  </si>
  <si>
    <t>Compute SST, SSE, and SS total.</t>
  </si>
  <si>
    <t>Complete an ANOVA table.</t>
  </si>
  <si>
    <t>State your decision regarding the null hypothesis</t>
  </si>
  <si>
    <t>a</t>
  </si>
  <si>
    <t>b</t>
  </si>
  <si>
    <t>c</t>
  </si>
  <si>
    <t>d</t>
  </si>
  <si>
    <t>e</t>
  </si>
  <si>
    <t>mu1 = mu2 = mu3</t>
  </si>
  <si>
    <t>the means are not all equal</t>
  </si>
  <si>
    <t>f-value</t>
  </si>
  <si>
    <t>Treatments (k)</t>
  </si>
  <si>
    <t>Samples (n)</t>
  </si>
  <si>
    <t>df numerator</t>
  </si>
  <si>
    <t>df denominator</t>
  </si>
  <si>
    <t>=F.INV.RT(P16,U4,U5)</t>
  </si>
  <si>
    <t>k - 1</t>
  </si>
  <si>
    <t>n - k</t>
  </si>
  <si>
    <t>ANOVA Table</t>
  </si>
  <si>
    <t>Source of Variation</t>
  </si>
  <si>
    <t>Sum of Squares</t>
  </si>
  <si>
    <t>Mean Square</t>
  </si>
  <si>
    <t>Treatments</t>
  </si>
  <si>
    <t>Error</t>
  </si>
  <si>
    <t>Total</t>
  </si>
  <si>
    <t>SST</t>
  </si>
  <si>
    <t>SSE</t>
  </si>
  <si>
    <t>SST / df = MST</t>
  </si>
  <si>
    <t>SSE / df = MSE</t>
  </si>
  <si>
    <t>MST / MSE</t>
  </si>
  <si>
    <t>x-bar_g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</si>
</sst>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_);_(* \(#,##0.0\);_(* &quot;-&quot;??_);_(@_)"/>
    <numFmt numFmtId="165" formatCode="0.000"/>
    <numFmt numFmtId="166" formatCode="0.0000"/>
    <numFmt numFmtId="167" formatCode="0.0"/>
    <numFmt numFmtId="168" formatCode="_(&quot;$&quot;* #,##0_);_(&quot;$&quot;* \(#,##0\);_(&quot;$&quot;* &quot;-&quot;??_);_(@_)"/>
  </numFmts>
  <fonts count="13">
    <font>
      <sz val="9"/>
      <color theme="1"/>
      <name val="Arial"/>
      <family val="2"/>
    </font>
    <font>
      <sz val="9"/>
      <color theme="1"/>
      <name val="Arial"/>
      <family val="2"/>
    </font>
    <font>
      <b/>
      <sz val="9"/>
      <color theme="1"/>
      <name val="Arial"/>
      <family val="2"/>
    </font>
    <font>
      <b/>
      <i/>
      <sz val="9"/>
      <color theme="1"/>
      <name val="Arial"/>
      <family val="2"/>
    </font>
    <font>
      <i/>
      <sz val="9"/>
      <color theme="1"/>
      <name val="Arial"/>
      <family val="2"/>
    </font>
    <font>
      <strike/>
      <sz val="9"/>
      <color theme="1"/>
      <name val="Arial"/>
      <family val="2"/>
    </font>
    <font>
      <sz val="9"/>
      <name val="Arial"/>
      <family val="2"/>
    </font>
    <font>
      <b/>
      <sz val="9"/>
      <name val="Arial"/>
      <family val="2"/>
    </font>
    <font>
      <sz val="9"/>
      <color rgb="FFFF0000"/>
      <name val="Arial"/>
      <family val="2"/>
    </font>
    <font>
      <b/>
      <sz val="9"/>
      <color rgb="FFFF0000"/>
      <name val="Arial"/>
      <family val="2"/>
    </font>
    <font>
      <i/>
      <sz val="9"/>
      <color rgb="FFFF0000"/>
      <name val="Arial"/>
      <family val="2"/>
    </font>
    <font>
      <u/>
      <sz val="9"/>
      <color theme="10"/>
      <name val="Arial"/>
      <family val="2"/>
    </font>
    <font>
      <sz val="10"/>
      <color theme="1"/>
      <name val="Arial Unicode MS"/>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1" fillId="0" borderId="0" applyNumberFormat="0" applyFill="0" applyBorder="0" applyAlignment="0" applyProtection="0"/>
  </cellStyleXfs>
  <cellXfs count="140">
    <xf numFmtId="0" fontId="0" fillId="0" borderId="0" xfId="0"/>
    <xf numFmtId="0" fontId="2" fillId="0" borderId="0" xfId="0" applyFont="1"/>
    <xf numFmtId="0" fontId="0" fillId="0" borderId="0" xfId="0" applyAlignment="1">
      <alignment horizontal="right"/>
    </xf>
    <xf numFmtId="0" fontId="0" fillId="2" borderId="0" xfId="0" applyFill="1"/>
    <xf numFmtId="0" fontId="0" fillId="0" borderId="0" xfId="0" applyFill="1"/>
    <xf numFmtId="0" fontId="0" fillId="2" borderId="0" xfId="0" applyFill="1" applyAlignment="1">
      <alignment horizontal="right"/>
    </xf>
    <xf numFmtId="0" fontId="0" fillId="0" borderId="0" xfId="0" applyFill="1" applyAlignment="1">
      <alignment horizontal="right"/>
    </xf>
    <xf numFmtId="0" fontId="0" fillId="0" borderId="0" xfId="0" applyAlignment="1"/>
    <xf numFmtId="166" fontId="0" fillId="0" borderId="0" xfId="0" applyNumberFormat="1" applyAlignment="1">
      <alignment horizontal="right"/>
    </xf>
    <xf numFmtId="0" fontId="0" fillId="0" borderId="0" xfId="0" applyFont="1"/>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vertical="center" wrapText="1"/>
    </xf>
    <xf numFmtId="167" fontId="2" fillId="0" borderId="0" xfId="0" applyNumberFormat="1" applyFont="1" applyAlignment="1">
      <alignment horizontal="center" vertical="center" wrapText="1"/>
    </xf>
    <xf numFmtId="166" fontId="0" fillId="0" borderId="0" xfId="0" applyNumberFormat="1" applyAlignment="1">
      <alignment vertical="center" wrapText="1"/>
    </xf>
    <xf numFmtId="165" fontId="0" fillId="2" borderId="0" xfId="0" applyNumberFormat="1" applyFill="1" applyAlignment="1">
      <alignment vertical="center" wrapText="1"/>
    </xf>
    <xf numFmtId="2" fontId="0" fillId="0" borderId="0" xfId="0" applyNumberFormat="1"/>
    <xf numFmtId="0" fontId="2" fillId="0" borderId="0" xfId="0" applyFont="1" applyAlignment="1">
      <alignment horizontal="right"/>
    </xf>
    <xf numFmtId="166" fontId="2" fillId="0" borderId="0" xfId="0" applyNumberFormat="1" applyFont="1" applyAlignment="1">
      <alignment horizontal="right"/>
    </xf>
    <xf numFmtId="10" fontId="0" fillId="2" borderId="0" xfId="2" applyNumberFormat="1" applyFont="1" applyFill="1"/>
    <xf numFmtId="166" fontId="0" fillId="0" borderId="0" xfId="0" applyNumberFormat="1"/>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0" fillId="0" borderId="0" xfId="0" applyAlignment="1">
      <alignment vertical="center" wrapText="1"/>
    </xf>
    <xf numFmtId="2" fontId="0" fillId="0" borderId="0" xfId="0" applyNumberFormat="1" applyAlignment="1">
      <alignment horizontal="right"/>
    </xf>
    <xf numFmtId="165" fontId="0" fillId="0" borderId="0" xfId="0" applyNumberFormat="1"/>
    <xf numFmtId="166" fontId="0" fillId="2" borderId="0" xfId="0" applyNumberFormat="1" applyFill="1"/>
    <xf numFmtId="0" fontId="2" fillId="0" borderId="0" xfId="0" applyFont="1" applyAlignment="1">
      <alignment horizontal="left"/>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Font="1" applyAlignment="1">
      <alignment horizontal="right"/>
    </xf>
    <xf numFmtId="164" fontId="0" fillId="0" borderId="0" xfId="1" applyNumberFormat="1" applyFont="1" applyAlignment="1">
      <alignment horizontal="left"/>
    </xf>
    <xf numFmtId="165" fontId="0" fillId="2" borderId="0" xfId="0" applyNumberFormat="1" applyFill="1"/>
    <xf numFmtId="0" fontId="0" fillId="0" borderId="0" xfId="0" applyFont="1" applyAlignment="1">
      <alignment horizontal="left"/>
    </xf>
    <xf numFmtId="164" fontId="0" fillId="0" borderId="0" xfId="0" applyNumberFormat="1"/>
    <xf numFmtId="0" fontId="5" fillId="0" borderId="0" xfId="0" applyFont="1"/>
    <xf numFmtId="0" fontId="0" fillId="0" borderId="0" xfId="0" applyAlignment="1">
      <alignment horizontal="center"/>
    </xf>
    <xf numFmtId="0" fontId="0" fillId="2" borderId="0" xfId="0" applyFill="1" applyAlignment="1">
      <alignment horizontal="left"/>
    </xf>
    <xf numFmtId="166" fontId="0" fillId="2" borderId="0" xfId="0" applyNumberFormat="1" applyFill="1" applyAlignment="1">
      <alignment horizontal="left"/>
    </xf>
    <xf numFmtId="0" fontId="0" fillId="0" borderId="0" xfId="0" applyFont="1" applyFill="1" applyAlignment="1">
      <alignment horizontal="left"/>
    </xf>
    <xf numFmtId="166" fontId="0" fillId="0" borderId="0" xfId="0" applyNumberFormat="1" applyFill="1" applyAlignment="1">
      <alignment horizontal="right"/>
    </xf>
    <xf numFmtId="166"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wrapText="1"/>
    </xf>
    <xf numFmtId="166" fontId="0" fillId="2" borderId="0" xfId="0" applyNumberFormat="1" applyFont="1" applyFill="1" applyAlignment="1">
      <alignment horizontal="right"/>
    </xf>
    <xf numFmtId="165" fontId="0" fillId="0" borderId="0" xfId="0" applyNumberFormat="1" applyFont="1" applyAlignment="1">
      <alignment horizontal="right"/>
    </xf>
    <xf numFmtId="0" fontId="0" fillId="0" borderId="0" xfId="0" applyNumberFormat="1" applyFont="1" applyFill="1" applyAlignment="1">
      <alignment horizontal="right"/>
    </xf>
    <xf numFmtId="165" fontId="0" fillId="2" borderId="0" xfId="0" applyNumberFormat="1" applyFont="1" applyFill="1" applyAlignment="1">
      <alignment horizontal="right"/>
    </xf>
    <xf numFmtId="1" fontId="0" fillId="2" borderId="0" xfId="0" applyNumberFormat="1" applyFill="1" applyAlignment="1">
      <alignment horizontal="left"/>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2" fillId="0" borderId="8" xfId="0" applyFont="1" applyBorder="1"/>
    <xf numFmtId="0" fontId="0" fillId="0" borderId="1" xfId="0" applyBorder="1"/>
    <xf numFmtId="0" fontId="0" fillId="0" borderId="9" xfId="0" applyBorder="1"/>
    <xf numFmtId="0" fontId="2" fillId="0" borderId="6" xfId="0" applyFont="1" applyBorder="1"/>
    <xf numFmtId="166" fontId="0" fillId="0" borderId="8" xfId="0" applyNumberFormat="1" applyBorder="1"/>
    <xf numFmtId="0" fontId="0" fillId="0" borderId="0" xfId="0" applyBorder="1" applyAlignment="1">
      <alignment horizontal="right"/>
    </xf>
    <xf numFmtId="0" fontId="0" fillId="0" borderId="8" xfId="0" applyBorder="1"/>
    <xf numFmtId="0" fontId="2" fillId="0" borderId="0" xfId="0" applyFont="1" applyBorder="1"/>
    <xf numFmtId="0" fontId="2" fillId="0" borderId="8" xfId="0" applyFont="1" applyBorder="1" applyAlignment="1">
      <alignment horizontal="right"/>
    </xf>
    <xf numFmtId="0" fontId="2" fillId="0" borderId="3" xfId="0" applyFont="1" applyBorder="1"/>
    <xf numFmtId="0" fontId="2" fillId="3" borderId="3" xfId="0" applyFont="1" applyFill="1" applyBorder="1"/>
    <xf numFmtId="0" fontId="0" fillId="0" borderId="0" xfId="0" applyFill="1" applyBorder="1" applyAlignment="1">
      <alignment horizontal="right"/>
    </xf>
    <xf numFmtId="0" fontId="4"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0" fontId="4" fillId="0" borderId="7" xfId="0" applyFont="1" applyFill="1" applyBorder="1" applyAlignment="1">
      <alignment horizontal="center"/>
    </xf>
    <xf numFmtId="0" fontId="0" fillId="0" borderId="7" xfId="0" applyFill="1" applyBorder="1" applyAlignment="1"/>
    <xf numFmtId="0" fontId="0" fillId="0" borderId="4" xfId="0" applyBorder="1" applyAlignment="1">
      <alignment horizontal="right"/>
    </xf>
    <xf numFmtId="0" fontId="0" fillId="2" borderId="0" xfId="0" applyFill="1" applyBorder="1"/>
    <xf numFmtId="0" fontId="2" fillId="2" borderId="0" xfId="0" applyFont="1" applyFill="1" applyBorder="1" applyAlignment="1">
      <alignment horizontal="right"/>
    </xf>
    <xf numFmtId="0" fontId="0" fillId="0" borderId="0" xfId="0" quotePrefix="1" applyBorder="1"/>
    <xf numFmtId="164" fontId="0" fillId="0" borderId="4" xfId="0" applyNumberFormat="1" applyBorder="1" applyAlignment="1">
      <alignment horizontal="right"/>
    </xf>
    <xf numFmtId="164" fontId="0" fillId="0" borderId="0" xfId="0" applyNumberFormat="1" applyBorder="1" applyAlignment="1">
      <alignment horizontal="right"/>
    </xf>
    <xf numFmtId="0" fontId="0" fillId="0" borderId="0" xfId="0" applyBorder="1" applyAlignment="1">
      <alignment horizontal="left"/>
    </xf>
    <xf numFmtId="0" fontId="6" fillId="0" borderId="0" xfId="0" applyFont="1" applyBorder="1" applyAlignment="1">
      <alignment horizontal="right"/>
    </xf>
    <xf numFmtId="0" fontId="6" fillId="0" borderId="0" xfId="0" quotePrefix="1" applyFont="1" applyBorder="1"/>
    <xf numFmtId="0" fontId="0" fillId="0" borderId="0" xfId="0" quotePrefix="1" applyFill="1" applyBorder="1"/>
    <xf numFmtId="166" fontId="6" fillId="0" borderId="0" xfId="0" quotePrefix="1" applyNumberFormat="1" applyFont="1" applyBorder="1"/>
    <xf numFmtId="0" fontId="2" fillId="0" borderId="0" xfId="0" applyFont="1" applyFill="1" applyBorder="1" applyAlignment="1"/>
    <xf numFmtId="0" fontId="4" fillId="0" borderId="0" xfId="0" applyFont="1"/>
    <xf numFmtId="1" fontId="0" fillId="0" borderId="0" xfId="0" applyNumberFormat="1" applyBorder="1" applyAlignment="1">
      <alignment horizontal="left"/>
    </xf>
    <xf numFmtId="166" fontId="0" fillId="0" borderId="0" xfId="0" applyNumberFormat="1" applyBorder="1" applyAlignment="1">
      <alignment horizontal="left"/>
    </xf>
    <xf numFmtId="0" fontId="0" fillId="0" borderId="1" xfId="0" applyBorder="1" applyAlignment="1">
      <alignment horizontal="left"/>
    </xf>
    <xf numFmtId="0" fontId="2" fillId="2" borderId="0" xfId="0" applyFont="1" applyFill="1" applyBorder="1" applyAlignment="1">
      <alignment horizontal="left"/>
    </xf>
    <xf numFmtId="16" fontId="0" fillId="0" borderId="0" xfId="0" applyNumberFormat="1"/>
    <xf numFmtId="0" fontId="2" fillId="0" borderId="0" xfId="0" applyFont="1" applyAlignment="1">
      <alignment vertical="top" wrapText="1"/>
    </xf>
    <xf numFmtId="0" fontId="2" fillId="0" borderId="0" xfId="0" applyFont="1" applyAlignment="1">
      <alignment horizontal="center"/>
    </xf>
    <xf numFmtId="0" fontId="2" fillId="3" borderId="0" xfId="0" applyFont="1" applyFill="1" applyBorder="1"/>
    <xf numFmtId="166" fontId="0" fillId="0" borderId="0" xfId="0" applyNumberFormat="1" applyBorder="1"/>
    <xf numFmtId="0" fontId="2" fillId="0" borderId="0" xfId="0" applyFont="1" applyBorder="1" applyAlignment="1">
      <alignment horizontal="right"/>
    </xf>
    <xf numFmtId="0" fontId="4" fillId="0" borderId="0" xfId="0" applyFont="1" applyAlignment="1">
      <alignment vertical="top" wrapText="1"/>
    </xf>
    <xf numFmtId="0" fontId="0" fillId="0" borderId="0" xfId="0" applyFont="1" applyAlignment="1">
      <alignment horizontal="right" vertical="top"/>
    </xf>
    <xf numFmtId="0" fontId="0" fillId="0" borderId="0" xfId="0" quotePrefix="1"/>
    <xf numFmtId="0" fontId="2" fillId="0" borderId="0" xfId="0" applyFont="1" applyBorder="1" applyAlignment="1">
      <alignment horizontal="left"/>
    </xf>
    <xf numFmtId="164" fontId="2" fillId="0" borderId="0" xfId="0" applyNumberFormat="1" applyFont="1" applyBorder="1" applyAlignment="1">
      <alignment horizontal="right"/>
    </xf>
    <xf numFmtId="0" fontId="2" fillId="2" borderId="0" xfId="0" applyFont="1" applyFill="1" applyBorder="1"/>
    <xf numFmtId="0" fontId="4" fillId="0" borderId="0" xfId="0" applyFont="1" applyBorder="1" applyAlignment="1">
      <alignment vertical="center" wrapText="1"/>
    </xf>
    <xf numFmtId="0" fontId="0" fillId="0" borderId="0" xfId="0" applyFill="1" applyBorder="1"/>
    <xf numFmtId="0" fontId="2" fillId="0" borderId="0" xfId="0" applyFont="1" applyFill="1" applyBorder="1" applyAlignment="1">
      <alignment horizontal="left"/>
    </xf>
    <xf numFmtId="167" fontId="0" fillId="0" borderId="0" xfId="0" applyNumberFormat="1"/>
    <xf numFmtId="167" fontId="2" fillId="0" borderId="0" xfId="0" applyNumberFormat="1" applyFont="1" applyAlignment="1">
      <alignment horizontal="left"/>
    </xf>
    <xf numFmtId="167" fontId="0" fillId="0" borderId="0" xfId="0" applyNumberFormat="1" applyAlignment="1">
      <alignment horizontal="left"/>
    </xf>
    <xf numFmtId="168" fontId="0" fillId="0" borderId="0" xfId="3" applyNumberFormat="1" applyFont="1"/>
    <xf numFmtId="168" fontId="2" fillId="2" borderId="0" xfId="3" applyNumberFormat="1" applyFont="1" applyFill="1" applyBorder="1" applyAlignment="1">
      <alignment horizontal="left"/>
    </xf>
    <xf numFmtId="0" fontId="2" fillId="2" borderId="0" xfId="0" applyFont="1" applyFill="1" applyAlignment="1">
      <alignment horizontal="right"/>
    </xf>
    <xf numFmtId="167" fontId="2" fillId="0" borderId="0" xfId="0" applyNumberFormat="1" applyFont="1" applyAlignment="1">
      <alignment vertical="top" wrapText="1"/>
    </xf>
    <xf numFmtId="0" fontId="8" fillId="0" borderId="0" xfId="0" applyFont="1"/>
    <xf numFmtId="0" fontId="8" fillId="0" borderId="0" xfId="0" applyFont="1" applyBorder="1"/>
    <xf numFmtId="164" fontId="9" fillId="0" borderId="0" xfId="0" applyNumberFormat="1" applyFont="1" applyBorder="1" applyAlignment="1">
      <alignment horizontal="right"/>
    </xf>
    <xf numFmtId="0" fontId="9" fillId="2" borderId="0" xfId="0" applyFont="1" applyFill="1" applyBorder="1"/>
    <xf numFmtId="0" fontId="8" fillId="2" borderId="0" xfId="0" applyFont="1" applyFill="1" applyBorder="1"/>
    <xf numFmtId="0" fontId="8" fillId="2" borderId="0" xfId="0" applyFont="1" applyFill="1"/>
    <xf numFmtId="0" fontId="9" fillId="0" borderId="0" xfId="0" applyFont="1"/>
    <xf numFmtId="165" fontId="2" fillId="0" borderId="0" xfId="0" applyNumberFormat="1" applyFont="1" applyAlignment="1">
      <alignment horizontal="left" vertical="top" wrapText="1"/>
    </xf>
    <xf numFmtId="0" fontId="2" fillId="2" borderId="0" xfId="3" applyNumberFormat="1" applyFont="1" applyFill="1" applyBorder="1" applyAlignment="1">
      <alignment horizontal="left"/>
    </xf>
    <xf numFmtId="2" fontId="2" fillId="2" borderId="0" xfId="3" applyNumberFormat="1" applyFont="1" applyFill="1" applyBorder="1" applyAlignment="1">
      <alignment horizontal="left"/>
    </xf>
    <xf numFmtId="0" fontId="2" fillId="0" borderId="0" xfId="0" applyFont="1" applyAlignment="1">
      <alignment horizontal="right" vertical="top" wrapText="1"/>
    </xf>
    <xf numFmtId="167" fontId="2" fillId="0" borderId="0" xfId="0" applyNumberFormat="1" applyFont="1" applyAlignment="1">
      <alignment horizontal="right"/>
    </xf>
    <xf numFmtId="0" fontId="11" fillId="0" borderId="0" xfId="4"/>
    <xf numFmtId="0" fontId="2" fillId="2" borderId="0" xfId="0" applyNumberFormat="1" applyFont="1" applyFill="1" applyBorder="1" applyAlignment="1">
      <alignment horizontal="left"/>
    </xf>
    <xf numFmtId="167" fontId="0" fillId="2" borderId="0" xfId="0" applyNumberFormat="1" applyFill="1"/>
    <xf numFmtId="16" fontId="5" fillId="0" borderId="0" xfId="0" applyNumberFormat="1" applyFont="1"/>
    <xf numFmtId="166" fontId="7" fillId="0" borderId="0" xfId="0" applyNumberFormat="1" applyFont="1" applyBorder="1" applyAlignment="1">
      <alignment horizontal="left"/>
    </xf>
    <xf numFmtId="0" fontId="2" fillId="0" borderId="0" xfId="0" applyFont="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4" fillId="2" borderId="0" xfId="0" applyFont="1" applyFill="1" applyAlignment="1">
      <alignment horizontal="center"/>
    </xf>
    <xf numFmtId="0" fontId="4" fillId="0" borderId="0" xfId="0" applyFont="1" applyBorder="1" applyAlignment="1">
      <alignment horizontal="center" vertical="center" wrapText="1"/>
    </xf>
    <xf numFmtId="0" fontId="4" fillId="0" borderId="0" xfId="0" applyFont="1" applyBorder="1" applyAlignment="1">
      <alignment horizontal="center" vertical="top" wrapText="1"/>
    </xf>
    <xf numFmtId="0" fontId="10" fillId="2" borderId="0" xfId="0" applyFont="1" applyFill="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top" wrapText="1"/>
    </xf>
    <xf numFmtId="0" fontId="2" fillId="0" borderId="0" xfId="0" applyFont="1" applyAlignment="1">
      <alignment horizontal="center"/>
    </xf>
    <xf numFmtId="0" fontId="2" fillId="0" borderId="0" xfId="0" applyFont="1" applyAlignment="1">
      <alignment horizontal="left" wrapText="1"/>
    </xf>
  </cellXfs>
  <cellStyles count="5">
    <cellStyle name="Comma" xfId="1" builtinId="3"/>
    <cellStyle name="Currency" xfId="3" builtinId="4"/>
    <cellStyle name="Hyperlink" xfId="4" builtinId="8"/>
    <cellStyle name="Normal" xfId="0" builtinId="0"/>
    <cellStyle name="Percent" xfId="2" builtinId="5"/>
  </cellStyles>
  <dxfs count="30">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7" formatCode="0.0"/>
    </dxf>
    <dxf>
      <numFmt numFmtId="167" formatCode="0.0"/>
    </dxf>
    <dxf>
      <numFmt numFmtId="0" formatCode="General"/>
    </dxf>
    <dxf>
      <numFmt numFmtId="167" formatCode="0.0"/>
      <fill>
        <patternFill patternType="solid">
          <fgColor indexed="64"/>
          <bgColor rgb="FFFFFF00"/>
        </patternFill>
      </fill>
    </dxf>
    <dxf>
      <numFmt numFmtId="167" formatCode="0.0"/>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303543</xdr:colOff>
      <xdr:row>52</xdr:row>
      <xdr:rowOff>56152</xdr:rowOff>
    </xdr:to>
    <xdr:pic>
      <xdr:nvPicPr>
        <xdr:cNvPr id="2" name="Picture 1">
          <a:extLst>
            <a:ext uri="{FF2B5EF4-FFF2-40B4-BE49-F238E27FC236}">
              <a16:creationId xmlns:a16="http://schemas.microsoft.com/office/drawing/2014/main" id="{A592CEB5-EE6F-4125-A561-4A39A0DB50D6}"/>
            </a:ext>
          </a:extLst>
        </xdr:cNvPr>
        <xdr:cNvPicPr>
          <a:picLocks noChangeAspect="1"/>
        </xdr:cNvPicPr>
      </xdr:nvPicPr>
      <xdr:blipFill>
        <a:blip xmlns:r="http://schemas.openxmlformats.org/officeDocument/2006/relationships" r:embed="rId1"/>
        <a:stretch>
          <a:fillRect/>
        </a:stretch>
      </xdr:blipFill>
      <xdr:spPr>
        <a:xfrm>
          <a:off x="0" y="0"/>
          <a:ext cx="10057143" cy="79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103</xdr:row>
      <xdr:rowOff>0</xdr:rowOff>
    </xdr:from>
    <xdr:to>
      <xdr:col>25</xdr:col>
      <xdr:colOff>294781</xdr:colOff>
      <xdr:row>120</xdr:row>
      <xdr:rowOff>18724</xdr:rowOff>
    </xdr:to>
    <xdr:pic>
      <xdr:nvPicPr>
        <xdr:cNvPr id="4" name="Picture 3">
          <a:extLst>
            <a:ext uri="{FF2B5EF4-FFF2-40B4-BE49-F238E27FC236}">
              <a16:creationId xmlns:a16="http://schemas.microsoft.com/office/drawing/2014/main" id="{22C5217E-5DC8-42C1-A83B-56C998EC546C}"/>
            </a:ext>
          </a:extLst>
        </xdr:cNvPr>
        <xdr:cNvPicPr>
          <a:picLocks noChangeAspect="1"/>
        </xdr:cNvPicPr>
      </xdr:nvPicPr>
      <xdr:blipFill>
        <a:blip xmlns:r="http://schemas.openxmlformats.org/officeDocument/2006/relationships" r:embed="rId1"/>
        <a:stretch>
          <a:fillRect/>
        </a:stretch>
      </xdr:blipFill>
      <xdr:spPr>
        <a:xfrm>
          <a:off x="11334750" y="2286000"/>
          <a:ext cx="3952381" cy="2609524"/>
        </a:xfrm>
        <a:prstGeom prst="rect">
          <a:avLst/>
        </a:prstGeom>
      </xdr:spPr>
    </xdr:pic>
    <xdr:clientData/>
  </xdr:twoCellAnchor>
  <xdr:oneCellAnchor>
    <xdr:from>
      <xdr:col>19</xdr:col>
      <xdr:colOff>0</xdr:colOff>
      <xdr:row>152</xdr:row>
      <xdr:rowOff>0</xdr:rowOff>
    </xdr:from>
    <xdr:ext cx="3952381" cy="2609524"/>
    <xdr:pic>
      <xdr:nvPicPr>
        <xdr:cNvPr id="7" name="Picture 6">
          <a:extLst>
            <a:ext uri="{FF2B5EF4-FFF2-40B4-BE49-F238E27FC236}">
              <a16:creationId xmlns:a16="http://schemas.microsoft.com/office/drawing/2014/main" id="{E2ED0903-C9DF-48BD-A6F1-0A4DCE74A16A}"/>
            </a:ext>
          </a:extLst>
        </xdr:cNvPr>
        <xdr:cNvPicPr>
          <a:picLocks noChangeAspect="1"/>
        </xdr:cNvPicPr>
      </xdr:nvPicPr>
      <xdr:blipFill>
        <a:blip xmlns:r="http://schemas.openxmlformats.org/officeDocument/2006/relationships" r:embed="rId1"/>
        <a:stretch>
          <a:fillRect/>
        </a:stretch>
      </xdr:blipFill>
      <xdr:spPr>
        <a:xfrm>
          <a:off x="11287125" y="15249525"/>
          <a:ext cx="3952381" cy="2609524"/>
        </a:xfrm>
        <a:prstGeom prst="rect">
          <a:avLst/>
        </a:prstGeom>
      </xdr:spPr>
    </xdr:pic>
    <xdr:clientData/>
  </xdr:oneCellAnchor>
  <xdr:oneCellAnchor>
    <xdr:from>
      <xdr:col>19</xdr:col>
      <xdr:colOff>0</xdr:colOff>
      <xdr:row>204</xdr:row>
      <xdr:rowOff>0</xdr:rowOff>
    </xdr:from>
    <xdr:ext cx="3952381" cy="2609524"/>
    <xdr:pic>
      <xdr:nvPicPr>
        <xdr:cNvPr id="8" name="Picture 7">
          <a:extLst>
            <a:ext uri="{FF2B5EF4-FFF2-40B4-BE49-F238E27FC236}">
              <a16:creationId xmlns:a16="http://schemas.microsoft.com/office/drawing/2014/main" id="{A3FDF5A8-C32F-4ECB-B155-A27080FE8EA8}"/>
            </a:ext>
          </a:extLst>
        </xdr:cNvPr>
        <xdr:cNvPicPr>
          <a:picLocks noChangeAspect="1"/>
        </xdr:cNvPicPr>
      </xdr:nvPicPr>
      <xdr:blipFill>
        <a:blip xmlns:r="http://schemas.openxmlformats.org/officeDocument/2006/relationships" r:embed="rId1"/>
        <a:stretch>
          <a:fillRect/>
        </a:stretch>
      </xdr:blipFill>
      <xdr:spPr>
        <a:xfrm>
          <a:off x="11287125" y="23183850"/>
          <a:ext cx="3952381" cy="2609524"/>
        </a:xfrm>
        <a:prstGeom prst="rect">
          <a:avLst/>
        </a:prstGeom>
      </xdr:spPr>
    </xdr:pic>
    <xdr:clientData/>
  </xdr:oneCellAnchor>
  <xdr:oneCellAnchor>
    <xdr:from>
      <xdr:col>19</xdr:col>
      <xdr:colOff>0</xdr:colOff>
      <xdr:row>256</xdr:row>
      <xdr:rowOff>0</xdr:rowOff>
    </xdr:from>
    <xdr:ext cx="3952381" cy="2609524"/>
    <xdr:pic>
      <xdr:nvPicPr>
        <xdr:cNvPr id="9" name="Picture 8">
          <a:extLst>
            <a:ext uri="{FF2B5EF4-FFF2-40B4-BE49-F238E27FC236}">
              <a16:creationId xmlns:a16="http://schemas.microsoft.com/office/drawing/2014/main" id="{6DC31236-4059-463F-96C7-F8035B5924E1}"/>
            </a:ext>
          </a:extLst>
        </xdr:cNvPr>
        <xdr:cNvPicPr>
          <a:picLocks noChangeAspect="1"/>
        </xdr:cNvPicPr>
      </xdr:nvPicPr>
      <xdr:blipFill>
        <a:blip xmlns:r="http://schemas.openxmlformats.org/officeDocument/2006/relationships" r:embed="rId1"/>
        <a:stretch>
          <a:fillRect/>
        </a:stretch>
      </xdr:blipFill>
      <xdr:spPr>
        <a:xfrm>
          <a:off x="11287125" y="31127700"/>
          <a:ext cx="3952381" cy="2609524"/>
        </a:xfrm>
        <a:prstGeom prst="rect">
          <a:avLst/>
        </a:prstGeom>
      </xdr:spPr>
    </xdr:pic>
    <xdr:clientData/>
  </xdr:oneCellAnchor>
  <xdr:oneCellAnchor>
    <xdr:from>
      <xdr:col>19</xdr:col>
      <xdr:colOff>0</xdr:colOff>
      <xdr:row>308</xdr:row>
      <xdr:rowOff>0</xdr:rowOff>
    </xdr:from>
    <xdr:ext cx="3952381" cy="2609524"/>
    <xdr:pic>
      <xdr:nvPicPr>
        <xdr:cNvPr id="10" name="Picture 9">
          <a:extLst>
            <a:ext uri="{FF2B5EF4-FFF2-40B4-BE49-F238E27FC236}">
              <a16:creationId xmlns:a16="http://schemas.microsoft.com/office/drawing/2014/main" id="{B31663EF-2E4D-4926-A709-5EC07CF69784}"/>
            </a:ext>
          </a:extLst>
        </xdr:cNvPr>
        <xdr:cNvPicPr>
          <a:picLocks noChangeAspect="1"/>
        </xdr:cNvPicPr>
      </xdr:nvPicPr>
      <xdr:blipFill>
        <a:blip xmlns:r="http://schemas.openxmlformats.org/officeDocument/2006/relationships" r:embed="rId1"/>
        <a:stretch>
          <a:fillRect/>
        </a:stretch>
      </xdr:blipFill>
      <xdr:spPr>
        <a:xfrm>
          <a:off x="11287125" y="39071550"/>
          <a:ext cx="3952381" cy="26095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16</xdr:col>
      <xdr:colOff>1</xdr:colOff>
      <xdr:row>22</xdr:row>
      <xdr:rowOff>154278</xdr:rowOff>
    </xdr:from>
    <xdr:to>
      <xdr:col>23</xdr:col>
      <xdr:colOff>1</xdr:colOff>
      <xdr:row>36</xdr:row>
      <xdr:rowOff>117895</xdr:rowOff>
    </xdr:to>
    <xdr:pic>
      <xdr:nvPicPr>
        <xdr:cNvPr id="4" name="Picture 3">
          <a:extLst>
            <a:ext uri="{FF2B5EF4-FFF2-40B4-BE49-F238E27FC236}">
              <a16:creationId xmlns:a16="http://schemas.microsoft.com/office/drawing/2014/main" id="{98A5D87A-49AE-4C0B-9736-19EFF177F71C}"/>
            </a:ext>
          </a:extLst>
        </xdr:cNvPr>
        <xdr:cNvPicPr>
          <a:picLocks noChangeAspect="1"/>
        </xdr:cNvPicPr>
      </xdr:nvPicPr>
      <xdr:blipFill>
        <a:blip xmlns:r="http://schemas.openxmlformats.org/officeDocument/2006/relationships" r:embed="rId1"/>
        <a:stretch>
          <a:fillRect/>
        </a:stretch>
      </xdr:blipFill>
      <xdr:spPr>
        <a:xfrm>
          <a:off x="9216445" y="3588644"/>
          <a:ext cx="3226426" cy="21302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332114</xdr:colOff>
      <xdr:row>41</xdr:row>
      <xdr:rowOff>142076</xdr:rowOff>
    </xdr:to>
    <xdr:pic>
      <xdr:nvPicPr>
        <xdr:cNvPr id="2" name="Picture 1">
          <a:extLst>
            <a:ext uri="{FF2B5EF4-FFF2-40B4-BE49-F238E27FC236}">
              <a16:creationId xmlns:a16="http://schemas.microsoft.com/office/drawing/2014/main" id="{74508613-1CEE-4E70-8E76-0D2F07359129}"/>
            </a:ext>
          </a:extLst>
        </xdr:cNvPr>
        <xdr:cNvPicPr>
          <a:picLocks noChangeAspect="1"/>
        </xdr:cNvPicPr>
      </xdr:nvPicPr>
      <xdr:blipFill>
        <a:blip xmlns:r="http://schemas.openxmlformats.org/officeDocument/2006/relationships" r:embed="rId1"/>
        <a:stretch>
          <a:fillRect/>
        </a:stretch>
      </xdr:blipFill>
      <xdr:spPr>
        <a:xfrm>
          <a:off x="0" y="0"/>
          <a:ext cx="10085714" cy="6390476"/>
        </a:xfrm>
        <a:prstGeom prst="rect">
          <a:avLst/>
        </a:prstGeom>
      </xdr:spPr>
    </xdr:pic>
    <xdr:clientData/>
  </xdr:twoCellAnchor>
  <xdr:twoCellAnchor editAs="oneCell">
    <xdr:from>
      <xdr:col>0</xdr:col>
      <xdr:colOff>0</xdr:colOff>
      <xdr:row>42</xdr:row>
      <xdr:rowOff>0</xdr:rowOff>
    </xdr:from>
    <xdr:to>
      <xdr:col>16</xdr:col>
      <xdr:colOff>322590</xdr:colOff>
      <xdr:row>54</xdr:row>
      <xdr:rowOff>47390</xdr:rowOff>
    </xdr:to>
    <xdr:pic>
      <xdr:nvPicPr>
        <xdr:cNvPr id="3" name="Picture 2">
          <a:extLst>
            <a:ext uri="{FF2B5EF4-FFF2-40B4-BE49-F238E27FC236}">
              <a16:creationId xmlns:a16="http://schemas.microsoft.com/office/drawing/2014/main" id="{694A3666-B0EF-4668-8001-BC05D261AE50}"/>
            </a:ext>
          </a:extLst>
        </xdr:cNvPr>
        <xdr:cNvPicPr>
          <a:picLocks noChangeAspect="1"/>
        </xdr:cNvPicPr>
      </xdr:nvPicPr>
      <xdr:blipFill>
        <a:blip xmlns:r="http://schemas.openxmlformats.org/officeDocument/2006/relationships" r:embed="rId2"/>
        <a:stretch>
          <a:fillRect/>
        </a:stretch>
      </xdr:blipFill>
      <xdr:spPr>
        <a:xfrm>
          <a:off x="0" y="6400800"/>
          <a:ext cx="10076190" cy="18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0C1E5646-8221-4593-A053-5235E48EC99D}"/>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605C4053-A6F5-4A9F-9825-BC4D2395B919}"/>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D8D616E4-2226-4983-81E2-667FDD888A8C}"/>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CE835-27DC-4DD3-A0CF-7BC82ACF7475}" name="Table1" displayName="Table1" ref="C32:H44" totalsRowShown="0">
  <autoFilter ref="C32:H44" xr:uid="{3419891E-10EF-49F3-AED3-FDBDB54029F3}"/>
  <tableColumns count="6">
    <tableColumn id="1" xr3:uid="{2114531D-0A4A-451C-A7C6-6DE2077A2232}" name="Salesperson" dataDxfId="29"/>
    <tableColumn id="2" xr3:uid="{DD6BAE36-E7F3-4407-A6DF-EBE3CD0B65C7}" name="Before" dataDxfId="28"/>
    <tableColumn id="3" xr3:uid="{648307A8-08C0-47CF-B59F-E98029E32DB2}" name="After" dataDxfId="27"/>
    <tableColumn id="4" xr3:uid="{9C6BB7FC-0EE5-4D03-A296-8838BD1EBE52}" name="Difference (d) *" dataDxfId="26">
      <calculatedColumnFormula>Table1[[#This Row],[Before]]-Table1[[#This Row],[After]]</calculatedColumnFormula>
    </tableColumn>
    <tableColumn id="5" xr3:uid="{2FECAF87-C4E8-4264-88B2-8A1F8A89AC21}" name="(d - dbar)" dataDxfId="25">
      <calculatedColumnFormula>Table1[[#This Row],[Difference (d) *]]-(SUM(Table1[Difference (d) *])/COUNT(Table1[Difference (d) *]))</calculatedColumnFormula>
    </tableColumn>
    <tableColumn id="6" xr3:uid="{251251C6-AA86-4050-A11B-97AC26FF5EE0}" name="(d - dbar)^2" dataDxfId="24">
      <calculatedColumnFormula>Table1[[#This Row],[(d - dbar)]]^2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5397A-94B8-43C9-BF81-BE11CB7029A8}" name="Table13" displayName="Table13" ref="C77:H85" totalsRowShown="0">
  <autoFilter ref="C77:H85" xr:uid="{B069B546-8149-45A7-8590-18BE12B64318}"/>
  <tableColumns count="6">
    <tableColumn id="1" xr3:uid="{7859ADC6-5533-4BE3-ACE6-2C9D55981DFF}" name="Employee" dataDxfId="23"/>
    <tableColumn id="2" xr3:uid="{9E848B4C-619D-4BDA-BAF8-DAFF195E0A6B}" name="Before" dataDxfId="22"/>
    <tableColumn id="3" xr3:uid="{DFEE676F-32D4-409B-803F-4D8FF56AFB4F}" name="After" dataDxfId="21"/>
    <tableColumn id="4" xr3:uid="{1671D01F-A01E-4833-B41E-0062E585E790}" name="Difference (d) *" dataDxfId="20">
      <calculatedColumnFormula>Table13[[#This Row],[Before]]-Table13[[#This Row],[After]]</calculatedColumnFormula>
    </tableColumn>
    <tableColumn id="5" xr3:uid="{9F37F6E0-1B4D-4010-ADCE-85DC2EEEB319}" name="(d - dbar)" dataDxfId="19">
      <calculatedColumnFormula>Table13[[#This Row],[Difference (d) *]]-(SUM(Table13[Difference (d) *])/COUNT(Table13[Difference (d) *]))</calculatedColumnFormula>
    </tableColumn>
    <tableColumn id="6" xr3:uid="{AF5640CA-CBFE-42BC-8534-B607B07D9B9B}" name="(d - dbar)^2" dataDxfId="18">
      <calculatedColumnFormula>Table13[[#This Row],[(d - dbar)]]^2</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6F3E25-D15D-44F9-BFF4-7947FD9FC903}" name="Table134" displayName="Table134" ref="C118:H126" totalsRowShown="0">
  <autoFilter ref="C118:H126" xr:uid="{F98EA5F8-7DB9-4453-8711-5C7CFA10CA7B}"/>
  <tableColumns count="6">
    <tableColumn id="1" xr3:uid="{6E611A12-5CDE-4A54-BE46-AD1389691183}" name="Employee" dataDxfId="17"/>
    <tableColumn id="2" xr3:uid="{39C881DE-1A66-45E3-B2F6-B9E8703BDF8E}" name="Before" dataDxfId="16"/>
    <tableColumn id="3" xr3:uid="{78B30629-6D8A-4D85-8600-817FEB1FE156}" name="After" dataDxfId="15"/>
    <tableColumn id="4" xr3:uid="{170DE623-453A-4E80-B5FE-FC12CE0F3E85}" name="Difference (d) *" dataDxfId="14">
      <calculatedColumnFormula>Table134[[#This Row],[Before]]-Table134[[#This Row],[After]]</calculatedColumnFormula>
    </tableColumn>
    <tableColumn id="5" xr3:uid="{1465D3F8-2AFE-4135-A9B4-B9CEA987C5AC}" name="(d - dbar)" dataDxfId="13">
      <calculatedColumnFormula>Table134[[#This Row],[Difference (d) *]]-(SUM(Table134[Difference (d) *])/COUNT(Table134[Difference (d) *]))</calculatedColumnFormula>
    </tableColumn>
    <tableColumn id="6" xr3:uid="{3895BAF7-CBE2-4B41-A26B-6116A51B233E}" name="(d - dbar)^2" dataDxfId="12">
      <calculatedColumnFormula>Table134[[#This Row],[(d - dbar)]]^2</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45D446-A306-483E-94E1-40F000AB69E4}" name="Table4" displayName="Table4" ref="C11:E15" headerRowDxfId="8" dataDxfId="7">
  <autoFilter ref="C11:E15" xr:uid="{93C8463E-20ED-4801-B9D2-4CCB41AD8057}">
    <filterColumn colId="0" hiddenButton="1"/>
    <filterColumn colId="1" hiddenButton="1"/>
    <filterColumn colId="2" hiddenButton="1"/>
  </autoFilter>
  <tableColumns count="3">
    <tableColumn id="1" xr3:uid="{CE3F1275-9EF4-4D46-B1A5-28B0A59FF520}" name="Treatment 1" totalsRowFunction="average" dataDxfId="11" totalsRowDxfId="4"/>
    <tableColumn id="2" xr3:uid="{AEBABF17-523C-40D9-B6D0-DD87074B81CC}" name="Treatment 2" totalsRowFunction="average" dataDxfId="10" totalsRowDxfId="5"/>
    <tableColumn id="3" xr3:uid="{175A9D73-263D-403D-B7ED-2EFDA714B002}" name="Treatment 3" totalsRowFunction="average" dataDxfId="9"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hawkeslearning.com/Statistics/exce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EDA3-2953-4AD3-8499-EAA3342062B3}">
  <dimension ref="A1"/>
  <sheetViews>
    <sheetView workbookViewId="0"/>
  </sheetViews>
  <sheetFormatPr defaultRowHeight="1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5DE7-0BD4-4C99-9735-9D800F3B91EF}">
  <dimension ref="A1:W126"/>
  <sheetViews>
    <sheetView workbookViewId="0">
      <selection sqref="A1:L1"/>
    </sheetView>
  </sheetViews>
  <sheetFormatPr defaultRowHeight="12"/>
  <cols>
    <col min="3" max="3" width="13.28515625" customWidth="1"/>
    <col min="6" max="6" width="15.140625" customWidth="1"/>
    <col min="7" max="7" width="10.28515625" customWidth="1"/>
    <col min="8" max="8" width="12.28515625" customWidth="1"/>
    <col min="11" max="11" width="6.7109375" customWidth="1"/>
    <col min="14" max="16" width="9.28515625" customWidth="1"/>
    <col min="18" max="18" width="6.7109375" customWidth="1"/>
  </cols>
  <sheetData>
    <row r="1" spans="1:23">
      <c r="A1" s="1" t="s">
        <v>80</v>
      </c>
      <c r="K1" s="1" t="s">
        <v>81</v>
      </c>
    </row>
    <row r="2" spans="1:23" ht="12" customHeight="1">
      <c r="A2" s="1" t="s">
        <v>246</v>
      </c>
      <c r="B2" s="128" t="s">
        <v>248</v>
      </c>
      <c r="C2" s="128"/>
      <c r="D2" s="128"/>
      <c r="E2" s="128"/>
      <c r="F2" s="128"/>
      <c r="G2" s="128"/>
      <c r="H2" s="128"/>
      <c r="I2" s="128"/>
      <c r="K2" s="1" t="s">
        <v>265</v>
      </c>
    </row>
    <row r="3" spans="1:23">
      <c r="A3" s="1"/>
      <c r="B3" s="128"/>
      <c r="C3" s="128"/>
      <c r="D3" s="128"/>
      <c r="E3" s="128"/>
      <c r="F3" s="128"/>
      <c r="G3" s="128"/>
      <c r="H3" s="128"/>
      <c r="I3" s="128"/>
      <c r="K3" s="92" t="s">
        <v>196</v>
      </c>
      <c r="L3" s="62" t="s">
        <v>197</v>
      </c>
      <c r="M3" s="60"/>
      <c r="N3" s="53"/>
      <c r="O3" s="53"/>
      <c r="P3" s="53"/>
      <c r="R3" s="92" t="s">
        <v>144</v>
      </c>
      <c r="S3" s="62" t="s">
        <v>204</v>
      </c>
    </row>
    <row r="4" spans="1:23">
      <c r="A4" s="1"/>
      <c r="B4" s="128"/>
      <c r="C4" s="128"/>
      <c r="D4" s="128"/>
      <c r="E4" s="128"/>
      <c r="F4" s="128"/>
      <c r="G4" s="128"/>
      <c r="H4" s="128"/>
      <c r="I4" s="128"/>
      <c r="K4" s="62"/>
      <c r="L4" s="62"/>
      <c r="N4" s="60"/>
      <c r="O4" s="88" t="s">
        <v>250</v>
      </c>
      <c r="P4" s="88" t="s">
        <v>251</v>
      </c>
      <c r="T4" s="2" t="s">
        <v>213</v>
      </c>
      <c r="U4" s="43" t="str">
        <f>IF(NOT(ISERROR(FIND("!=",N12))),"Two",IF(NOT(ISERROR(FIND("&lt;",N12))),"Left","Right"))</f>
        <v>Left</v>
      </c>
      <c r="V4" s="43"/>
    </row>
    <row r="5" spans="1:23">
      <c r="A5" s="1"/>
      <c r="B5" s="128"/>
      <c r="C5" s="128"/>
      <c r="D5" s="128"/>
      <c r="E5" s="128"/>
      <c r="F5" s="128"/>
      <c r="G5" s="128"/>
      <c r="H5" s="128"/>
      <c r="I5" s="128"/>
      <c r="K5" s="102"/>
      <c r="L5" s="73"/>
      <c r="M5" s="73"/>
      <c r="N5" s="74" t="s">
        <v>148</v>
      </c>
      <c r="O5" s="88">
        <f>COUNT(D33:D44)</f>
        <v>12</v>
      </c>
      <c r="P5" s="88">
        <f>COUNT(E33:E44)</f>
        <v>12</v>
      </c>
      <c r="U5" t="str">
        <f>O4</f>
        <v>Before</v>
      </c>
      <c r="V5" t="str">
        <f>P4</f>
        <v>After</v>
      </c>
    </row>
    <row r="6" spans="1:23">
      <c r="A6" s="1"/>
      <c r="B6" s="128"/>
      <c r="C6" s="128"/>
      <c r="D6" s="128"/>
      <c r="E6" s="128"/>
      <c r="F6" s="128"/>
      <c r="G6" s="128"/>
      <c r="H6" s="128"/>
      <c r="I6" s="128"/>
      <c r="K6" s="102"/>
      <c r="L6" s="73"/>
      <c r="M6" s="73"/>
      <c r="N6" s="74" t="s">
        <v>282</v>
      </c>
      <c r="O6" s="108">
        <f>AVERAGE(D33:D44)</f>
        <v>428.33333333333331</v>
      </c>
      <c r="P6" s="108">
        <f>AVERAGE(E33:E44)</f>
        <v>454.25</v>
      </c>
      <c r="T6" s="2" t="s">
        <v>240</v>
      </c>
      <c r="U6" s="43">
        <f>O7^2/O5</f>
        <v>1201.2020202020187</v>
      </c>
      <c r="V6" s="43">
        <f>P7^2/P5</f>
        <v>1439.8958333333333</v>
      </c>
    </row>
    <row r="7" spans="1:23">
      <c r="A7" s="1"/>
      <c r="B7" s="128"/>
      <c r="C7" s="128"/>
      <c r="D7" s="128"/>
      <c r="E7" s="128"/>
      <c r="F7" s="128"/>
      <c r="G7" s="128"/>
      <c r="H7" s="128"/>
      <c r="I7" s="128"/>
      <c r="K7" s="102"/>
      <c r="L7" s="73"/>
      <c r="M7" s="73"/>
      <c r="N7" s="74" t="s">
        <v>239</v>
      </c>
      <c r="O7" s="108">
        <f>_xlfn.STDEV.S(D33:D44)</f>
        <v>120.06008596708661</v>
      </c>
      <c r="P7" s="108">
        <f>_xlfn.STDEV.S(E33:E44)</f>
        <v>131.44865917916394</v>
      </c>
      <c r="T7" s="2" t="s">
        <v>241</v>
      </c>
      <c r="U7" s="43">
        <f>U6^2</f>
        <v>1442886.293337411</v>
      </c>
      <c r="V7" s="43">
        <f>V6^2</f>
        <v>2073300.0108506943</v>
      </c>
      <c r="W7" s="97"/>
    </row>
    <row r="8" spans="1:23">
      <c r="A8" s="1"/>
      <c r="B8" s="128"/>
      <c r="C8" s="128"/>
      <c r="D8" s="128"/>
      <c r="E8" s="128"/>
      <c r="F8" s="128"/>
      <c r="G8" s="128"/>
      <c r="H8" s="128"/>
      <c r="I8" s="128"/>
      <c r="K8" s="102"/>
      <c r="L8" s="73"/>
      <c r="M8" s="73"/>
      <c r="N8" s="74" t="s">
        <v>230</v>
      </c>
      <c r="O8" s="88">
        <v>0.05</v>
      </c>
      <c r="P8" s="103">
        <f>O8</f>
        <v>0.05</v>
      </c>
      <c r="T8" s="2" t="s">
        <v>45</v>
      </c>
      <c r="U8" s="43">
        <f>O5-1</f>
        <v>11</v>
      </c>
      <c r="V8" s="43"/>
      <c r="W8" s="97"/>
    </row>
    <row r="9" spans="1:23">
      <c r="A9" s="1"/>
      <c r="B9" s="128"/>
      <c r="C9" s="128"/>
      <c r="D9" s="128"/>
      <c r="E9" s="128"/>
      <c r="F9" s="128"/>
      <c r="G9" s="128"/>
      <c r="H9" s="128"/>
      <c r="I9" s="128"/>
      <c r="K9" s="53"/>
      <c r="L9" s="53"/>
      <c r="M9" s="53"/>
      <c r="N9" s="53"/>
      <c r="O9" s="53"/>
      <c r="P9" s="53"/>
      <c r="T9" s="2" t="s">
        <v>212</v>
      </c>
      <c r="U9" s="43">
        <f>IF(U4="Two",P16/2,IF(U4="Left",P16,""))</f>
        <v>0.05</v>
      </c>
      <c r="V9" s="43">
        <f>IF(P23="z-value",IFERROR(ROUND(_xlfn.NORM.S.INV(U9),3),""),IFERROR(ROUND(_xlfn.T.INV(U9,U8),3),""))</f>
        <v>-1.796</v>
      </c>
      <c r="W9" s="53"/>
    </row>
    <row r="10" spans="1:23">
      <c r="A10" s="1"/>
      <c r="B10" s="128"/>
      <c r="C10" s="128"/>
      <c r="D10" s="128"/>
      <c r="E10" s="128"/>
      <c r="F10" s="128"/>
      <c r="G10" s="128"/>
      <c r="H10" s="128"/>
      <c r="I10" s="128"/>
      <c r="K10" s="92" t="s">
        <v>141</v>
      </c>
      <c r="L10" s="62" t="s">
        <v>198</v>
      </c>
      <c r="O10" s="53"/>
      <c r="P10" s="53"/>
      <c r="T10" s="2" t="s">
        <v>214</v>
      </c>
      <c r="U10" s="43" t="str">
        <f>IF(U4="Two",1-P16/2,IF(U4="Left","",1-P16))</f>
        <v/>
      </c>
      <c r="V10" s="43" t="str">
        <f>IF(P23="z-value",IFERROR(ROUND(_xlfn.NORM.S.INV(U10),3),""),IFERROR(ROUND(_xlfn.T.INV(U10,U8),3),""))</f>
        <v/>
      </c>
    </row>
    <row r="11" spans="1:23">
      <c r="A11" s="1"/>
      <c r="B11" s="128"/>
      <c r="C11" s="128"/>
      <c r="D11" s="128"/>
      <c r="E11" s="128"/>
      <c r="F11" s="128"/>
      <c r="G11" s="128"/>
      <c r="H11" s="128"/>
      <c r="I11" s="128"/>
      <c r="K11" s="53"/>
      <c r="L11" s="112"/>
      <c r="M11" s="113" t="s">
        <v>171</v>
      </c>
      <c r="N11" s="114" t="s">
        <v>272</v>
      </c>
      <c r="O11" s="115"/>
      <c r="P11" s="116"/>
      <c r="U11" s="17" t="s">
        <v>210</v>
      </c>
      <c r="V11" s="27" t="str">
        <f>IF(U4="Left",P23&amp;" &lt; "&amp;V9,IF(U4="Right",P23&amp;" &gt; "&amp;V10,P23&amp;" &lt; "&amp;V9&amp;" OR "&amp;P23&amp;" &gt; "&amp;V10))</f>
        <v>t-value &lt; -1.796</v>
      </c>
    </row>
    <row r="12" spans="1:23">
      <c r="A12" s="1"/>
      <c r="B12" s="128"/>
      <c r="C12" s="128"/>
      <c r="D12" s="128"/>
      <c r="E12" s="128"/>
      <c r="F12" s="128"/>
      <c r="G12" s="128"/>
      <c r="H12" s="128"/>
      <c r="I12" s="128"/>
      <c r="K12" s="62"/>
      <c r="L12" s="112"/>
      <c r="M12" s="113" t="s">
        <v>172</v>
      </c>
      <c r="N12" s="114" t="s">
        <v>270</v>
      </c>
      <c r="O12" s="115"/>
      <c r="P12" s="116"/>
    </row>
    <row r="13" spans="1:23">
      <c r="A13" s="1"/>
      <c r="B13" s="128"/>
      <c r="C13" s="128"/>
      <c r="D13" s="128"/>
      <c r="E13" s="128"/>
      <c r="F13" s="128"/>
      <c r="G13" s="128"/>
      <c r="H13" s="128"/>
      <c r="I13" s="128"/>
      <c r="L13" s="134" t="s">
        <v>264</v>
      </c>
      <c r="M13" s="134"/>
      <c r="N13" s="134"/>
      <c r="O13" s="134"/>
      <c r="P13" s="134"/>
    </row>
    <row r="14" spans="1:23">
      <c r="A14" s="1"/>
      <c r="B14" s="128"/>
      <c r="C14" s="128"/>
      <c r="D14" s="128"/>
      <c r="E14" s="128"/>
      <c r="F14" s="128"/>
      <c r="G14" s="128"/>
      <c r="H14" s="128"/>
      <c r="I14" s="128"/>
      <c r="R14" s="92" t="s">
        <v>217</v>
      </c>
      <c r="S14" s="62" t="s">
        <v>216</v>
      </c>
      <c r="T14" s="53"/>
      <c r="U14" s="53"/>
      <c r="V14" s="53"/>
    </row>
    <row r="15" spans="1:23">
      <c r="A15" s="1"/>
      <c r="B15" s="128"/>
      <c r="C15" s="128"/>
      <c r="D15" s="128"/>
      <c r="E15" s="128"/>
      <c r="F15" s="128"/>
      <c r="G15" s="128"/>
      <c r="H15" s="128"/>
      <c r="I15" s="128"/>
      <c r="K15" s="92" t="s">
        <v>142</v>
      </c>
      <c r="L15" s="62" t="s">
        <v>199</v>
      </c>
      <c r="M15" s="53"/>
      <c r="N15" s="53"/>
      <c r="O15" s="53"/>
      <c r="P15" s="53"/>
      <c r="R15" s="62"/>
      <c r="S15" s="53"/>
      <c r="T15" s="2" t="s">
        <v>207</v>
      </c>
      <c r="U15" s="106">
        <f>O6-P6</f>
        <v>-25.916666666666686</v>
      </c>
    </row>
    <row r="16" spans="1:23">
      <c r="B16" s="128"/>
      <c r="C16" s="128"/>
      <c r="D16" s="128"/>
      <c r="E16" s="128"/>
      <c r="F16" s="128"/>
      <c r="G16" s="128"/>
      <c r="H16" s="128"/>
      <c r="I16" s="128"/>
      <c r="K16" s="53"/>
      <c r="L16" s="53"/>
      <c r="O16" s="94" t="s">
        <v>63</v>
      </c>
      <c r="P16" s="98">
        <f>O8</f>
        <v>0.05</v>
      </c>
      <c r="R16" s="53"/>
      <c r="S16" s="53"/>
      <c r="T16" s="2"/>
      <c r="U16" s="1" t="str">
        <f>O4</f>
        <v>Before</v>
      </c>
      <c r="V16" s="1" t="str">
        <f>P4</f>
        <v>After</v>
      </c>
    </row>
    <row r="17" spans="2:23" ht="12" customHeight="1">
      <c r="B17" s="128"/>
      <c r="C17" s="128"/>
      <c r="D17" s="128"/>
      <c r="E17" s="128"/>
      <c r="F17" s="128"/>
      <c r="G17" s="128"/>
      <c r="H17" s="128"/>
      <c r="I17" s="128"/>
      <c r="K17" s="93"/>
      <c r="L17" s="53"/>
      <c r="M17" s="53"/>
      <c r="N17" s="53"/>
      <c r="O17" s="53"/>
      <c r="P17" s="53"/>
      <c r="R17" s="53"/>
      <c r="S17" s="53"/>
      <c r="T17" s="2" t="s">
        <v>240</v>
      </c>
      <c r="U17" s="43">
        <f>O7^2/O5</f>
        <v>1201.2020202020187</v>
      </c>
      <c r="V17" s="43">
        <f>P7^2/P5</f>
        <v>1439.8958333333333</v>
      </c>
    </row>
    <row r="18" spans="2:23">
      <c r="B18" s="1"/>
      <c r="C18" s="105"/>
      <c r="D18" s="105"/>
      <c r="K18" s="92" t="s">
        <v>143</v>
      </c>
      <c r="L18" s="62" t="s">
        <v>205</v>
      </c>
      <c r="M18" s="53"/>
      <c r="N18" s="53"/>
      <c r="O18" s="53"/>
      <c r="P18" s="53"/>
      <c r="R18" s="53"/>
      <c r="S18" s="53"/>
      <c r="T18" s="2" t="str">
        <f>"Test statistic: "&amp;P23</f>
        <v>Test statistic: t-value</v>
      </c>
      <c r="U18" s="43">
        <f>F19/(F20/SQRT(O5))</f>
        <v>-2.2009286177293688</v>
      </c>
      <c r="V18" s="43"/>
    </row>
    <row r="19" spans="2:23">
      <c r="E19" s="17" t="s">
        <v>273</v>
      </c>
      <c r="F19" s="118">
        <f>SUM(Table1[Difference (d) *])/COUNT(Table1[Difference (d) *])</f>
        <v>-25.916666666666668</v>
      </c>
      <c r="M19" s="95"/>
      <c r="O19" s="96" t="s">
        <v>209</v>
      </c>
      <c r="P19" s="95" t="b">
        <f>AND(O7&lt;&gt;"",P7&lt;&gt;"")</f>
        <v>1</v>
      </c>
      <c r="U19" t="str">
        <f>SUBSTITUTE(V11,P23,ROUND(U18,3))</f>
        <v>-2.201 &lt; -1.796</v>
      </c>
    </row>
    <row r="20" spans="2:23">
      <c r="E20" s="17" t="s">
        <v>271</v>
      </c>
      <c r="F20" s="118">
        <f>SQRT(H31/U8)</f>
        <v>40.790948936639303</v>
      </c>
      <c r="G20" s="90"/>
      <c r="H20" s="90"/>
      <c r="K20" s="62"/>
      <c r="M20" s="95"/>
      <c r="O20" s="96" t="s">
        <v>235</v>
      </c>
      <c r="P20" s="84" t="b">
        <f>O7=P7</f>
        <v>0</v>
      </c>
      <c r="T20" s="43"/>
      <c r="U20" s="3" t="b">
        <v>1</v>
      </c>
    </row>
    <row r="21" spans="2:23">
      <c r="G21" s="90"/>
      <c r="H21" s="90"/>
      <c r="O21" s="96" t="s">
        <v>203</v>
      </c>
      <c r="P21" s="95" t="b">
        <v>1</v>
      </c>
      <c r="S21" s="62" t="str">
        <f>IF(U20,"Reject H0", "Fail to Reject H0")</f>
        <v>Reject H0</v>
      </c>
    </row>
    <row r="23" spans="2:23">
      <c r="D23" s="111" t="s">
        <v>279</v>
      </c>
      <c r="E23" s="111"/>
      <c r="F23" s="111"/>
      <c r="G23" s="111"/>
      <c r="H23" s="111"/>
      <c r="O23" s="17" t="s">
        <v>206</v>
      </c>
      <c r="P23" s="91" t="str">
        <f>IF(AND(P19,P21,P20),"z-value","t-value")</f>
        <v>t-value</v>
      </c>
      <c r="R23" s="92" t="s">
        <v>218</v>
      </c>
      <c r="S23" s="1" t="s">
        <v>219</v>
      </c>
    </row>
    <row r="24" spans="2:23">
      <c r="D24" s="111" t="s">
        <v>281</v>
      </c>
      <c r="E24" s="111"/>
      <c r="F24" s="111"/>
      <c r="G24" s="111"/>
      <c r="H24" s="111"/>
      <c r="S24" t="s">
        <v>25</v>
      </c>
      <c r="T24">
        <f>ROUND(IF(U4="Right",_xlfn.T.DIST.RT(ABS(U18),U8),IF(U4="Left",1-_xlfn.T.DIST(ABS(U18),U8,TRUE),_xlfn.T.DIST.2T(ABS(U18),U8))),4)</f>
        <v>2.5000000000000001E-2</v>
      </c>
    </row>
    <row r="25" spans="2:23">
      <c r="D25" s="111" t="s">
        <v>276</v>
      </c>
      <c r="E25" s="111"/>
      <c r="F25" s="111"/>
      <c r="G25" s="111"/>
      <c r="H25" s="111"/>
      <c r="S25" s="62" t="str">
        <f>IF(T24&lt;P16,"Reject H0", "Fail to Reject H0")</f>
        <v>Reject H0</v>
      </c>
    </row>
    <row r="26" spans="2:23">
      <c r="D26" s="111" t="s">
        <v>275</v>
      </c>
      <c r="E26" s="111"/>
      <c r="F26" s="111"/>
      <c r="G26" s="111"/>
      <c r="H26" s="111"/>
      <c r="S26" s="133" t="str">
        <f>"We can"&amp;IF(T24&lt;P16,"","not")&amp;" conclude that "&amp;L13&amp;"."</f>
        <v>We can conclude that there was a significant increase in the typical salesperson's weekly income.</v>
      </c>
      <c r="T26" s="133"/>
      <c r="U26" s="133"/>
      <c r="V26" s="133"/>
      <c r="W26" s="133"/>
    </row>
    <row r="27" spans="2:23">
      <c r="D27" s="111"/>
      <c r="E27" s="111"/>
      <c r="F27" s="111"/>
      <c r="G27" s="111"/>
      <c r="H27" s="111"/>
      <c r="S27" s="133"/>
      <c r="T27" s="133"/>
      <c r="U27" s="133"/>
      <c r="V27" s="133"/>
      <c r="W27" s="133"/>
    </row>
    <row r="28" spans="2:23">
      <c r="D28" s="111" t="s">
        <v>277</v>
      </c>
      <c r="E28" s="111"/>
      <c r="F28" s="111"/>
      <c r="G28" s="111"/>
      <c r="H28" s="111"/>
      <c r="S28" s="133"/>
      <c r="T28" s="133"/>
      <c r="U28" s="133"/>
      <c r="V28" s="133"/>
      <c r="W28" s="133"/>
    </row>
    <row r="29" spans="2:23">
      <c r="D29" s="111" t="s">
        <v>278</v>
      </c>
      <c r="S29" s="133"/>
      <c r="T29" s="133"/>
      <c r="U29" s="133"/>
      <c r="V29" s="133"/>
      <c r="W29" s="133"/>
    </row>
    <row r="31" spans="2:23">
      <c r="F31" s="90">
        <f>SUM(Table1[Difference (d) *])</f>
        <v>-311</v>
      </c>
      <c r="G31" s="110">
        <f>SUM(Table1[(d - dbar)])</f>
        <v>0</v>
      </c>
      <c r="H31" s="110">
        <f>SUM(Table1[(d - dbar)^2])</f>
        <v>18302.916666666668</v>
      </c>
      <c r="R31" s="53"/>
    </row>
    <row r="32" spans="2:23">
      <c r="B32" s="90"/>
      <c r="C32" s="109" t="s">
        <v>249</v>
      </c>
      <c r="D32" s="109" t="s">
        <v>250</v>
      </c>
      <c r="E32" s="109" t="s">
        <v>251</v>
      </c>
      <c r="F32" s="117" t="s">
        <v>280</v>
      </c>
      <c r="G32" s="1" t="s">
        <v>266</v>
      </c>
      <c r="H32" s="1" t="s">
        <v>267</v>
      </c>
      <c r="I32" s="90"/>
    </row>
    <row r="33" spans="1:19">
      <c r="B33" s="90"/>
      <c r="C33" s="5" t="s">
        <v>252</v>
      </c>
      <c r="D33" s="3">
        <v>320</v>
      </c>
      <c r="E33" s="3">
        <v>340</v>
      </c>
      <c r="F33">
        <f>Table1[[#This Row],[Before]]-Table1[[#This Row],[After]]</f>
        <v>-20</v>
      </c>
      <c r="G33" s="104">
        <f>Table1[[#This Row],[Difference (d) *]]-(SUM(Table1[Difference (d) *])/COUNT(Table1[Difference (d) *]))</f>
        <v>5.9166666666666679</v>
      </c>
      <c r="H33" s="104">
        <f>Table1[[#This Row],[(d - dbar)]]^2</f>
        <v>35.006944444444457</v>
      </c>
      <c r="I33" s="90"/>
    </row>
    <row r="34" spans="1:19">
      <c r="B34" s="90"/>
      <c r="C34" s="5" t="s">
        <v>253</v>
      </c>
      <c r="D34" s="3">
        <v>290</v>
      </c>
      <c r="E34" s="3">
        <v>285</v>
      </c>
      <c r="F34">
        <f>Table1[[#This Row],[Before]]-Table1[[#This Row],[After]]</f>
        <v>5</v>
      </c>
      <c r="G34" s="104">
        <f>Table1[[#This Row],[Difference (d) *]]-(SUM(Table1[Difference (d) *])/COUNT(Table1[Difference (d) *]))</f>
        <v>30.916666666666668</v>
      </c>
      <c r="H34" s="104">
        <f>Table1[[#This Row],[(d - dbar)]]^2</f>
        <v>955.84027777777783</v>
      </c>
      <c r="I34" s="90"/>
    </row>
    <row r="35" spans="1:19">
      <c r="B35" s="90"/>
      <c r="C35" s="5" t="s">
        <v>254</v>
      </c>
      <c r="D35" s="3">
        <v>421</v>
      </c>
      <c r="E35" s="3">
        <v>475</v>
      </c>
      <c r="F35">
        <f>Table1[[#This Row],[Before]]-Table1[[#This Row],[After]]</f>
        <v>-54</v>
      </c>
      <c r="G35" s="104">
        <f>Table1[[#This Row],[Difference (d) *]]-(SUM(Table1[Difference (d) *])/COUNT(Table1[Difference (d) *]))</f>
        <v>-28.083333333333332</v>
      </c>
      <c r="H35" s="104">
        <f>Table1[[#This Row],[(d - dbar)]]^2</f>
        <v>788.67361111111109</v>
      </c>
      <c r="I35" s="90"/>
    </row>
    <row r="36" spans="1:19">
      <c r="C36" s="5" t="s">
        <v>255</v>
      </c>
      <c r="D36" s="3">
        <v>510</v>
      </c>
      <c r="E36" s="3">
        <v>510</v>
      </c>
      <c r="F36">
        <f>Table1[[#This Row],[Before]]-Table1[[#This Row],[After]]</f>
        <v>0</v>
      </c>
      <c r="G36" s="104">
        <f>Table1[[#This Row],[Difference (d) *]]-(SUM(Table1[Difference (d) *])/COUNT(Table1[Difference (d) *]))</f>
        <v>25.916666666666668</v>
      </c>
      <c r="H36" s="104">
        <f>Table1[[#This Row],[(d - dbar)]]^2</f>
        <v>671.6736111111112</v>
      </c>
    </row>
    <row r="37" spans="1:19">
      <c r="C37" s="5" t="s">
        <v>256</v>
      </c>
      <c r="D37" s="3">
        <v>210</v>
      </c>
      <c r="E37" s="3">
        <v>210</v>
      </c>
      <c r="F37">
        <f>Table1[[#This Row],[Before]]-Table1[[#This Row],[After]]</f>
        <v>0</v>
      </c>
      <c r="G37" s="104">
        <f>Table1[[#This Row],[Difference (d) *]]-(SUM(Table1[Difference (d) *])/COUNT(Table1[Difference (d) *]))</f>
        <v>25.916666666666668</v>
      </c>
      <c r="H37" s="104">
        <f>Table1[[#This Row],[(d - dbar)]]^2</f>
        <v>671.6736111111112</v>
      </c>
    </row>
    <row r="38" spans="1:19">
      <c r="C38" s="5" t="s">
        <v>257</v>
      </c>
      <c r="D38" s="3">
        <v>402</v>
      </c>
      <c r="E38" s="3">
        <v>500</v>
      </c>
      <c r="F38">
        <f>Table1[[#This Row],[Before]]-Table1[[#This Row],[After]]</f>
        <v>-98</v>
      </c>
      <c r="G38" s="104">
        <f>Table1[[#This Row],[Difference (d) *]]-(SUM(Table1[Difference (d) *])/COUNT(Table1[Difference (d) *]))</f>
        <v>-72.083333333333329</v>
      </c>
      <c r="H38" s="104">
        <f>Table1[[#This Row],[(d - dbar)]]^2</f>
        <v>5196.0069444444434</v>
      </c>
    </row>
    <row r="39" spans="1:19" ht="12" customHeight="1">
      <c r="C39" s="5" t="s">
        <v>258</v>
      </c>
      <c r="D39" s="3">
        <v>625</v>
      </c>
      <c r="E39" s="3">
        <v>631</v>
      </c>
      <c r="F39">
        <f>Table1[[#This Row],[Before]]-Table1[[#This Row],[After]]</f>
        <v>-6</v>
      </c>
      <c r="G39" s="104">
        <f>Table1[[#This Row],[Difference (d) *]]-(SUM(Table1[Difference (d) *])/COUNT(Table1[Difference (d) *]))</f>
        <v>19.916666666666668</v>
      </c>
      <c r="H39" s="104">
        <f>Table1[[#This Row],[(d - dbar)]]^2</f>
        <v>396.67361111111114</v>
      </c>
    </row>
    <row r="40" spans="1:19" ht="12" customHeight="1">
      <c r="C40" s="5" t="s">
        <v>259</v>
      </c>
      <c r="D40" s="3">
        <v>560</v>
      </c>
      <c r="E40" s="3">
        <v>560</v>
      </c>
      <c r="F40">
        <f>Table1[[#This Row],[Before]]-Table1[[#This Row],[After]]</f>
        <v>0</v>
      </c>
      <c r="G40" s="104">
        <f>Table1[[#This Row],[Difference (d) *]]-(SUM(Table1[Difference (d) *])/COUNT(Table1[Difference (d) *]))</f>
        <v>25.916666666666668</v>
      </c>
      <c r="H40" s="104">
        <f>Table1[[#This Row],[(d - dbar)]]^2</f>
        <v>671.6736111111112</v>
      </c>
    </row>
    <row r="41" spans="1:19">
      <c r="C41" s="5" t="s">
        <v>260</v>
      </c>
      <c r="D41" s="3">
        <v>360</v>
      </c>
      <c r="E41" s="3">
        <v>365</v>
      </c>
      <c r="F41">
        <f>Table1[[#This Row],[Before]]-Table1[[#This Row],[After]]</f>
        <v>-5</v>
      </c>
      <c r="G41" s="104">
        <f>Table1[[#This Row],[Difference (d) *]]-(SUM(Table1[Difference (d) *])/COUNT(Table1[Difference (d) *]))</f>
        <v>20.916666666666668</v>
      </c>
      <c r="H41" s="104">
        <f>Table1[[#This Row],[(d - dbar)]]^2</f>
        <v>437.50694444444451</v>
      </c>
    </row>
    <row r="42" spans="1:19">
      <c r="C42" s="5" t="s">
        <v>261</v>
      </c>
      <c r="D42" s="3">
        <v>431</v>
      </c>
      <c r="E42" s="3">
        <v>431</v>
      </c>
      <c r="F42">
        <f>Table1[[#This Row],[Before]]-Table1[[#This Row],[After]]</f>
        <v>0</v>
      </c>
      <c r="G42" s="104">
        <f>Table1[[#This Row],[Difference (d) *]]-(SUM(Table1[Difference (d) *])/COUNT(Table1[Difference (d) *]))</f>
        <v>25.916666666666668</v>
      </c>
      <c r="H42" s="104">
        <f>Table1[[#This Row],[(d - dbar)]]^2</f>
        <v>671.6736111111112</v>
      </c>
    </row>
    <row r="43" spans="1:19">
      <c r="C43" s="5" t="s">
        <v>262</v>
      </c>
      <c r="D43" s="3">
        <v>506</v>
      </c>
      <c r="E43" s="3">
        <v>525</v>
      </c>
      <c r="F43">
        <f>Table1[[#This Row],[Before]]-Table1[[#This Row],[After]]</f>
        <v>-19</v>
      </c>
      <c r="G43" s="104">
        <f>Table1[[#This Row],[Difference (d) *]]-(SUM(Table1[Difference (d) *])/COUNT(Table1[Difference (d) *]))</f>
        <v>6.9166666666666679</v>
      </c>
      <c r="H43" s="104">
        <f>Table1[[#This Row],[(d - dbar)]]^2</f>
        <v>47.840277777777793</v>
      </c>
    </row>
    <row r="44" spans="1:19">
      <c r="C44" s="5" t="s">
        <v>263</v>
      </c>
      <c r="D44" s="3">
        <v>505</v>
      </c>
      <c r="E44" s="3">
        <v>619</v>
      </c>
      <c r="F44">
        <f>Table1[[#This Row],[Before]]-Table1[[#This Row],[After]]</f>
        <v>-114</v>
      </c>
      <c r="G44" s="104">
        <f>Table1[[#This Row],[Difference (d) *]]-(SUM(Table1[Difference (d) *])/COUNT(Table1[Difference (d) *]))</f>
        <v>-88.083333333333329</v>
      </c>
      <c r="H44" s="104">
        <f>Table1[[#This Row],[(d - dbar)]]^2</f>
        <v>7758.6736111111104</v>
      </c>
    </row>
    <row r="45" spans="1:19">
      <c r="Q45" s="101"/>
    </row>
    <row r="46" spans="1:19">
      <c r="A46" s="1" t="s">
        <v>80</v>
      </c>
      <c r="K46" s="1" t="s">
        <v>81</v>
      </c>
    </row>
    <row r="47" spans="1:19">
      <c r="A47" s="1" t="s">
        <v>312</v>
      </c>
      <c r="B47" s="128" t="s">
        <v>313</v>
      </c>
      <c r="C47" s="128"/>
      <c r="D47" s="128"/>
      <c r="E47" s="128"/>
      <c r="F47" s="128"/>
      <c r="G47" s="128"/>
      <c r="H47" s="128"/>
      <c r="I47" s="128"/>
      <c r="K47" s="1" t="s">
        <v>265</v>
      </c>
    </row>
    <row r="48" spans="1:19">
      <c r="A48" s="1"/>
      <c r="B48" s="128"/>
      <c r="C48" s="128"/>
      <c r="D48" s="128"/>
      <c r="E48" s="128"/>
      <c r="F48" s="128"/>
      <c r="G48" s="128"/>
      <c r="H48" s="128"/>
      <c r="I48" s="128"/>
      <c r="K48" s="92" t="s">
        <v>196</v>
      </c>
      <c r="L48" s="62" t="s">
        <v>197</v>
      </c>
      <c r="M48" s="60"/>
      <c r="N48" s="53"/>
      <c r="O48" s="53"/>
      <c r="P48" s="53"/>
      <c r="R48" s="92" t="s">
        <v>144</v>
      </c>
      <c r="S48" s="62" t="s">
        <v>204</v>
      </c>
    </row>
    <row r="49" spans="1:23">
      <c r="A49" s="1"/>
      <c r="B49" s="128"/>
      <c r="C49" s="128"/>
      <c r="D49" s="128"/>
      <c r="E49" s="128"/>
      <c r="F49" s="128"/>
      <c r="G49" s="128"/>
      <c r="H49" s="128"/>
      <c r="I49" s="128"/>
      <c r="K49" s="62"/>
      <c r="L49" s="62"/>
      <c r="N49" s="60"/>
      <c r="O49" s="88" t="s">
        <v>250</v>
      </c>
      <c r="P49" s="88" t="s">
        <v>251</v>
      </c>
      <c r="T49" s="2" t="s">
        <v>213</v>
      </c>
      <c r="U49" s="43" t="str">
        <f>IF(NOT(ISERROR(FIND("!=",N57))),"Two",IF(NOT(ISERROR(FIND("&lt;",N57))),"Left","Right"))</f>
        <v>Right</v>
      </c>
      <c r="V49" s="43"/>
    </row>
    <row r="50" spans="1:23">
      <c r="A50" s="1"/>
      <c r="B50" s="128"/>
      <c r="C50" s="128"/>
      <c r="D50" s="128"/>
      <c r="E50" s="128"/>
      <c r="F50" s="128"/>
      <c r="G50" s="128"/>
      <c r="H50" s="128"/>
      <c r="I50" s="128"/>
      <c r="K50" s="102"/>
      <c r="L50" s="73"/>
      <c r="M50" s="73"/>
      <c r="N50" s="74" t="s">
        <v>148</v>
      </c>
      <c r="O50" s="124">
        <f>COUNT(D78:D85)</f>
        <v>8</v>
      </c>
      <c r="P50" s="124">
        <f>COUNT(E78:E85)</f>
        <v>8</v>
      </c>
      <c r="U50" t="str">
        <f>O49</f>
        <v>Before</v>
      </c>
      <c r="V50" t="str">
        <f>P49</f>
        <v>After</v>
      </c>
    </row>
    <row r="51" spans="1:23">
      <c r="A51" s="1"/>
      <c r="B51" s="128"/>
      <c r="C51" s="128"/>
      <c r="D51" s="128"/>
      <c r="E51" s="128"/>
      <c r="F51" s="128"/>
      <c r="G51" s="128"/>
      <c r="H51" s="128"/>
      <c r="I51" s="128"/>
      <c r="K51" s="102"/>
      <c r="L51" s="73"/>
      <c r="M51" s="73"/>
      <c r="N51" s="74" t="s">
        <v>282</v>
      </c>
      <c r="O51" s="119">
        <f>AVERAGE(D78:D85)</f>
        <v>5.5</v>
      </c>
      <c r="P51" s="119">
        <f>AVERAGE(E78:E85)</f>
        <v>3.75</v>
      </c>
      <c r="T51" s="2" t="s">
        <v>240</v>
      </c>
      <c r="U51" s="43">
        <f>O52^2/O50</f>
        <v>0.25000000000000006</v>
      </c>
      <c r="V51" s="43">
        <f>P52^2/P50</f>
        <v>0.52678571428571419</v>
      </c>
    </row>
    <row r="52" spans="1:23">
      <c r="A52" s="1"/>
      <c r="B52" s="128"/>
      <c r="C52" s="128"/>
      <c r="D52" s="128"/>
      <c r="E52" s="128"/>
      <c r="F52" s="128"/>
      <c r="G52" s="128"/>
      <c r="H52" s="128"/>
      <c r="I52" s="128"/>
      <c r="K52" s="102"/>
      <c r="L52" s="73"/>
      <c r="M52" s="73"/>
      <c r="N52" s="74" t="s">
        <v>239</v>
      </c>
      <c r="O52" s="119">
        <f>_xlfn.STDEV.S(D78:D85)</f>
        <v>1.4142135623730951</v>
      </c>
      <c r="P52" s="119">
        <f>_xlfn.STDEV.S(E78:E85)</f>
        <v>2.0528725518857018</v>
      </c>
      <c r="T52" s="2" t="s">
        <v>241</v>
      </c>
      <c r="U52" s="43">
        <f>U51^2</f>
        <v>6.2500000000000028E-2</v>
      </c>
      <c r="V52" s="43">
        <f>V51^2</f>
        <v>0.27750318877551011</v>
      </c>
      <c r="W52" s="97"/>
    </row>
    <row r="53" spans="1:23">
      <c r="A53" s="1"/>
      <c r="B53" s="128"/>
      <c r="C53" s="128"/>
      <c r="D53" s="128"/>
      <c r="E53" s="128"/>
      <c r="F53" s="128"/>
      <c r="G53" s="128"/>
      <c r="H53" s="128"/>
      <c r="I53" s="128"/>
      <c r="K53" s="102"/>
      <c r="L53" s="73"/>
      <c r="M53" s="73"/>
      <c r="N53" s="74" t="s">
        <v>230</v>
      </c>
      <c r="O53" s="88">
        <v>0.05</v>
      </c>
      <c r="P53" s="103">
        <f>O53</f>
        <v>0.05</v>
      </c>
      <c r="T53" s="2" t="s">
        <v>45</v>
      </c>
      <c r="U53" s="43">
        <f>O50-1</f>
        <v>7</v>
      </c>
      <c r="V53" s="43"/>
      <c r="W53" s="97"/>
    </row>
    <row r="54" spans="1:23">
      <c r="A54" s="1"/>
      <c r="B54" s="128"/>
      <c r="C54" s="128"/>
      <c r="D54" s="128"/>
      <c r="E54" s="128"/>
      <c r="F54" s="128"/>
      <c r="G54" s="128"/>
      <c r="H54" s="128"/>
      <c r="I54" s="128"/>
      <c r="K54" s="53"/>
      <c r="L54" s="53"/>
      <c r="M54" s="53"/>
      <c r="N54" s="53"/>
      <c r="O54" s="53"/>
      <c r="P54" s="53"/>
      <c r="T54" s="2" t="s">
        <v>212</v>
      </c>
      <c r="U54" s="43" t="str">
        <f>IF(U49="Two",P61/2,IF(U49="Left",P61,""))</f>
        <v/>
      </c>
      <c r="V54" s="43" t="str">
        <f>IF(P68="z-value",IFERROR(ROUND(_xlfn.NORM.S.INV(U54),3),""),IFERROR(ROUND(_xlfn.T.INV(U54,U53),3),""))</f>
        <v/>
      </c>
      <c r="W54" s="53"/>
    </row>
    <row r="55" spans="1:23">
      <c r="A55" s="1"/>
      <c r="B55" s="128"/>
      <c r="C55" s="128"/>
      <c r="D55" s="128"/>
      <c r="E55" s="128"/>
      <c r="F55" s="128"/>
      <c r="G55" s="128"/>
      <c r="H55" s="128"/>
      <c r="I55" s="128"/>
      <c r="K55" s="92" t="s">
        <v>141</v>
      </c>
      <c r="L55" s="62" t="s">
        <v>198</v>
      </c>
      <c r="O55" s="53"/>
      <c r="P55" s="53"/>
      <c r="T55" s="2" t="s">
        <v>214</v>
      </c>
      <c r="U55" s="43">
        <f>IF(U49="Two",1-P61/2,IF(U49="Left","",1-P61))</f>
        <v>0.95</v>
      </c>
      <c r="V55" s="43">
        <f>IF(P68="z-value",IFERROR(ROUND(_xlfn.NORM.S.INV(U55),3),""),IFERROR(ROUND(_xlfn.T.INV(U55,U53),3),""))</f>
        <v>1.895</v>
      </c>
    </row>
    <row r="56" spans="1:23">
      <c r="A56" s="1"/>
      <c r="B56" s="128"/>
      <c r="C56" s="128"/>
      <c r="D56" s="128"/>
      <c r="E56" s="128"/>
      <c r="F56" s="128"/>
      <c r="G56" s="128"/>
      <c r="H56" s="128"/>
      <c r="I56" s="128"/>
      <c r="K56" s="53"/>
      <c r="L56" s="112"/>
      <c r="M56" s="113" t="s">
        <v>171</v>
      </c>
      <c r="N56" s="114" t="s">
        <v>269</v>
      </c>
      <c r="O56" s="115"/>
      <c r="P56" s="116"/>
      <c r="U56" s="17" t="s">
        <v>210</v>
      </c>
      <c r="V56" s="27" t="str">
        <f>IF(U49="Left",P68&amp;" &lt; "&amp;V54,IF(U49="Right",P68&amp;" &gt; "&amp;V55,P68&amp;" &lt; "&amp;V54&amp;" OR "&amp;P68&amp;" &gt; "&amp;V55))</f>
        <v>t-value &gt; 1.895</v>
      </c>
    </row>
    <row r="57" spans="1:23">
      <c r="A57" s="1"/>
      <c r="B57" s="128"/>
      <c r="C57" s="128"/>
      <c r="D57" s="128"/>
      <c r="E57" s="128"/>
      <c r="F57" s="128"/>
      <c r="G57" s="128"/>
      <c r="H57" s="128"/>
      <c r="I57" s="128"/>
      <c r="K57" s="62"/>
      <c r="L57" s="112"/>
      <c r="M57" s="113" t="s">
        <v>172</v>
      </c>
      <c r="N57" s="114" t="s">
        <v>268</v>
      </c>
      <c r="O57" s="115"/>
      <c r="P57" s="116"/>
    </row>
    <row r="58" spans="1:23">
      <c r="A58" s="1"/>
      <c r="B58" s="128"/>
      <c r="C58" s="128"/>
      <c r="D58" s="128"/>
      <c r="E58" s="128"/>
      <c r="F58" s="128"/>
      <c r="G58" s="128"/>
      <c r="H58" s="128"/>
      <c r="I58" s="128"/>
      <c r="L58" s="134" t="s">
        <v>323</v>
      </c>
      <c r="M58" s="134"/>
      <c r="N58" s="134"/>
      <c r="O58" s="134"/>
      <c r="P58" s="134"/>
    </row>
    <row r="59" spans="1:23">
      <c r="A59" s="1"/>
      <c r="B59" s="128"/>
      <c r="C59" s="128"/>
      <c r="D59" s="128"/>
      <c r="E59" s="128"/>
      <c r="F59" s="128"/>
      <c r="G59" s="128"/>
      <c r="H59" s="128"/>
      <c r="I59" s="128"/>
      <c r="R59" s="92" t="s">
        <v>217</v>
      </c>
      <c r="S59" s="62" t="s">
        <v>216</v>
      </c>
      <c r="T59" s="53"/>
      <c r="U59" s="53"/>
      <c r="V59" s="53"/>
    </row>
    <row r="60" spans="1:23">
      <c r="A60" s="1"/>
      <c r="B60" s="128"/>
      <c r="C60" s="128"/>
      <c r="D60" s="128"/>
      <c r="E60" s="128"/>
      <c r="F60" s="128"/>
      <c r="G60" s="128"/>
      <c r="H60" s="128"/>
      <c r="I60" s="128"/>
      <c r="K60" s="92" t="s">
        <v>142</v>
      </c>
      <c r="L60" s="62" t="s">
        <v>199</v>
      </c>
      <c r="M60" s="53"/>
      <c r="N60" s="53"/>
      <c r="O60" s="53"/>
      <c r="P60" s="53"/>
      <c r="R60" s="62"/>
      <c r="S60" s="53"/>
      <c r="T60" s="2" t="s">
        <v>207</v>
      </c>
      <c r="U60" s="106">
        <f>O51-P51</f>
        <v>1.75</v>
      </c>
    </row>
    <row r="61" spans="1:23">
      <c r="B61" s="128"/>
      <c r="C61" s="128"/>
      <c r="D61" s="128"/>
      <c r="E61" s="128"/>
      <c r="F61" s="128"/>
      <c r="G61" s="128"/>
      <c r="H61" s="128"/>
      <c r="I61" s="128"/>
      <c r="K61" s="53"/>
      <c r="L61" s="53"/>
      <c r="O61" s="94" t="s">
        <v>63</v>
      </c>
      <c r="P61" s="98">
        <f>O53</f>
        <v>0.05</v>
      </c>
      <c r="R61" s="53"/>
      <c r="S61" s="53"/>
      <c r="T61" s="2"/>
      <c r="U61" s="1" t="str">
        <f>O49</f>
        <v>Before</v>
      </c>
      <c r="V61" s="1" t="str">
        <f>P49</f>
        <v>After</v>
      </c>
    </row>
    <row r="62" spans="1:23">
      <c r="B62" s="128"/>
      <c r="C62" s="128"/>
      <c r="D62" s="128"/>
      <c r="E62" s="128"/>
      <c r="F62" s="128"/>
      <c r="G62" s="128"/>
      <c r="H62" s="128"/>
      <c r="I62" s="128"/>
      <c r="K62" s="93"/>
      <c r="L62" s="53"/>
      <c r="M62" s="53"/>
      <c r="N62" s="53"/>
      <c r="O62" s="53"/>
      <c r="P62" s="53"/>
      <c r="R62" s="53"/>
      <c r="S62" s="53"/>
      <c r="T62" s="2" t="s">
        <v>240</v>
      </c>
      <c r="U62" s="43">
        <f>O52^2/O50</f>
        <v>0.25000000000000006</v>
      </c>
      <c r="V62" s="43">
        <f>P52^2/P50</f>
        <v>0.52678571428571419</v>
      </c>
    </row>
    <row r="63" spans="1:23">
      <c r="B63" s="1"/>
      <c r="C63" s="105"/>
      <c r="D63" s="105"/>
      <c r="K63" s="92" t="s">
        <v>143</v>
      </c>
      <c r="L63" s="62" t="s">
        <v>205</v>
      </c>
      <c r="M63" s="53"/>
      <c r="N63" s="53"/>
      <c r="O63" s="53"/>
      <c r="P63" s="53"/>
      <c r="R63" s="53"/>
      <c r="S63" s="53"/>
      <c r="T63" s="2" t="str">
        <f>"Test statistic: "&amp;P68</f>
        <v>Test statistic: t-value</v>
      </c>
      <c r="U63" s="43">
        <f>F64/(F65/SQRT(O50))</f>
        <v>1.6977493752543309</v>
      </c>
      <c r="V63" s="43"/>
    </row>
    <row r="64" spans="1:23">
      <c r="E64" s="17" t="s">
        <v>273</v>
      </c>
      <c r="F64" s="118">
        <f>SUM(Table13[Difference (d) *])/COUNT(Table13[Difference (d) *])</f>
        <v>1.75</v>
      </c>
      <c r="M64" s="95"/>
      <c r="O64" s="96" t="s">
        <v>209</v>
      </c>
      <c r="P64" s="95" t="b">
        <f>AND(O52&lt;&gt;"",P52&lt;&gt;"")</f>
        <v>1</v>
      </c>
      <c r="U64" t="str">
        <f>SUBSTITUTE(V56,P68,ROUND(U63,3))</f>
        <v>1.698 &gt; 1.895</v>
      </c>
    </row>
    <row r="65" spans="2:23">
      <c r="E65" s="17" t="s">
        <v>271</v>
      </c>
      <c r="F65" s="118">
        <f>SQRT(H76/U53)</f>
        <v>2.9154759474226504</v>
      </c>
      <c r="G65" s="90"/>
      <c r="H65" s="90"/>
      <c r="K65" s="62"/>
      <c r="M65" s="95"/>
      <c r="O65" s="96" t="s">
        <v>235</v>
      </c>
      <c r="P65" s="84" t="b">
        <f>O52=P52</f>
        <v>0</v>
      </c>
      <c r="T65" s="43"/>
      <c r="U65" s="3" t="b">
        <v>0</v>
      </c>
    </row>
    <row r="66" spans="2:23">
      <c r="D66" s="111" t="s">
        <v>279</v>
      </c>
      <c r="G66" s="90"/>
      <c r="H66" s="90"/>
      <c r="O66" s="96" t="s">
        <v>203</v>
      </c>
      <c r="P66" s="95" t="b">
        <v>1</v>
      </c>
      <c r="S66" s="62" t="str">
        <f>IF(U65,"Reject H0", "Fail to Reject H0")</f>
        <v>Fail to Reject H0</v>
      </c>
    </row>
    <row r="67" spans="2:23">
      <c r="D67" s="111" t="s">
        <v>281</v>
      </c>
    </row>
    <row r="68" spans="2:23">
      <c r="D68" s="111" t="s">
        <v>276</v>
      </c>
      <c r="E68" s="111"/>
      <c r="F68" s="111"/>
      <c r="G68" s="111"/>
      <c r="H68" s="111"/>
      <c r="O68" s="17" t="s">
        <v>206</v>
      </c>
      <c r="P68" s="91" t="str">
        <f>IF(AND(P64,P66,P65),"z-value","t-value")</f>
        <v>t-value</v>
      </c>
      <c r="R68" s="92" t="s">
        <v>218</v>
      </c>
      <c r="S68" s="1" t="s">
        <v>219</v>
      </c>
    </row>
    <row r="69" spans="2:23">
      <c r="D69" s="111" t="s">
        <v>275</v>
      </c>
      <c r="E69" s="111"/>
      <c r="F69" s="111"/>
      <c r="G69" s="111"/>
      <c r="H69" s="111"/>
      <c r="S69" t="s">
        <v>25</v>
      </c>
      <c r="T69">
        <f>ROUND(IF(U49="Right",_xlfn.T.DIST.RT(ABS(U63),U53),IF(U49="Left",1-_xlfn.T.DIST(ABS(U63),U53,TRUE),_xlfn.T.DIST.2T(ABS(U63),U53))),4)</f>
        <v>6.6699999999999995E-2</v>
      </c>
    </row>
    <row r="70" spans="2:23">
      <c r="D70" s="111"/>
      <c r="E70" s="111"/>
      <c r="F70" s="111"/>
      <c r="G70" s="111"/>
      <c r="H70" s="111"/>
      <c r="S70" s="62" t="str">
        <f>IF(T69&lt;P61,"Reject H0", "Fail to Reject H0")</f>
        <v>Fail to Reject H0</v>
      </c>
    </row>
    <row r="71" spans="2:23">
      <c r="D71" s="111" t="s">
        <v>277</v>
      </c>
      <c r="E71" s="111"/>
      <c r="F71" s="111"/>
      <c r="G71" s="111"/>
      <c r="H71" s="111"/>
      <c r="S71" s="133" t="str">
        <f>"We can"&amp;IF(T69&lt;P61,"","not")&amp;" conclude that "&amp;L58&amp;"."</f>
        <v>We cannot conclude that the number of absences has declined.</v>
      </c>
      <c r="T71" s="133"/>
      <c r="U71" s="133"/>
      <c r="V71" s="133"/>
      <c r="W71" s="133"/>
    </row>
    <row r="72" spans="2:23">
      <c r="D72" s="111" t="s">
        <v>278</v>
      </c>
      <c r="E72" s="111"/>
      <c r="F72" s="111"/>
      <c r="G72" s="111"/>
      <c r="H72" s="111"/>
      <c r="S72" s="133"/>
      <c r="T72" s="133"/>
      <c r="U72" s="133"/>
      <c r="V72" s="133"/>
      <c r="W72" s="133"/>
    </row>
    <row r="73" spans="2:23">
      <c r="E73" s="111"/>
      <c r="F73" s="111"/>
      <c r="G73" s="111"/>
      <c r="H73" s="111"/>
      <c r="S73" s="133"/>
      <c r="T73" s="133"/>
      <c r="U73" s="133"/>
      <c r="V73" s="133"/>
      <c r="W73" s="133"/>
    </row>
    <row r="74" spans="2:23">
      <c r="D74" s="111" t="s">
        <v>324</v>
      </c>
      <c r="S74" s="133"/>
      <c r="T74" s="133"/>
      <c r="U74" s="133"/>
      <c r="V74" s="133"/>
      <c r="W74" s="133"/>
    </row>
    <row r="75" spans="2:23">
      <c r="D75" s="111" t="s">
        <v>278</v>
      </c>
    </row>
    <row r="76" spans="2:23">
      <c r="F76" s="90">
        <f>SUM(Table13[Difference (d) *])</f>
        <v>14</v>
      </c>
      <c r="G76" s="110">
        <f>SUM(Table13[(d - dbar)])</f>
        <v>0</v>
      </c>
      <c r="H76" s="110">
        <f>SUM(Table13[(d - dbar)^2])</f>
        <v>59.5</v>
      </c>
      <c r="R76" s="53"/>
    </row>
    <row r="77" spans="2:23">
      <c r="B77" s="90"/>
      <c r="C77" s="109" t="s">
        <v>314</v>
      </c>
      <c r="D77" s="109" t="s">
        <v>250</v>
      </c>
      <c r="E77" s="109" t="s">
        <v>251</v>
      </c>
      <c r="F77" s="117" t="s">
        <v>280</v>
      </c>
      <c r="G77" s="1" t="s">
        <v>266</v>
      </c>
      <c r="H77" s="1" t="s">
        <v>267</v>
      </c>
      <c r="I77" s="90"/>
    </row>
    <row r="78" spans="2:23">
      <c r="B78" s="90"/>
      <c r="C78" s="5" t="s">
        <v>315</v>
      </c>
      <c r="D78" s="3">
        <v>6</v>
      </c>
      <c r="E78" s="3">
        <v>5</v>
      </c>
      <c r="F78">
        <f>Table13[[#This Row],[Before]]-Table13[[#This Row],[After]]</f>
        <v>1</v>
      </c>
      <c r="G78" s="104">
        <f>Table13[[#This Row],[Difference (d) *]]-(SUM(Table13[Difference (d) *])/COUNT(Table13[Difference (d) *]))</f>
        <v>-0.75</v>
      </c>
      <c r="H78" s="104">
        <f>Table13[[#This Row],[(d - dbar)]]^2</f>
        <v>0.5625</v>
      </c>
      <c r="I78" s="90"/>
    </row>
    <row r="79" spans="2:23">
      <c r="B79" s="90"/>
      <c r="C79" s="5" t="s">
        <v>316</v>
      </c>
      <c r="D79" s="3">
        <v>6</v>
      </c>
      <c r="E79" s="3">
        <v>2</v>
      </c>
      <c r="F79">
        <f>Table13[[#This Row],[Before]]-Table13[[#This Row],[After]]</f>
        <v>4</v>
      </c>
      <c r="G79" s="104">
        <f>Table13[[#This Row],[Difference (d) *]]-(SUM(Table13[Difference (d) *])/COUNT(Table13[Difference (d) *]))</f>
        <v>2.25</v>
      </c>
      <c r="H79" s="104">
        <f>Table13[[#This Row],[(d - dbar)]]^2</f>
        <v>5.0625</v>
      </c>
      <c r="I79" s="90"/>
    </row>
    <row r="80" spans="2:23">
      <c r="B80" s="90"/>
      <c r="C80" s="5" t="s">
        <v>317</v>
      </c>
      <c r="D80" s="3">
        <v>7</v>
      </c>
      <c r="E80" s="3">
        <v>1</v>
      </c>
      <c r="F80">
        <f>Table13[[#This Row],[Before]]-Table13[[#This Row],[After]]</f>
        <v>6</v>
      </c>
      <c r="G80" s="104">
        <f>Table13[[#This Row],[Difference (d) *]]-(SUM(Table13[Difference (d) *])/COUNT(Table13[Difference (d) *]))</f>
        <v>4.25</v>
      </c>
      <c r="H80" s="104">
        <f>Table13[[#This Row],[(d - dbar)]]^2</f>
        <v>18.0625</v>
      </c>
      <c r="I80" s="90"/>
    </row>
    <row r="81" spans="1:23">
      <c r="C81" s="5" t="s">
        <v>318</v>
      </c>
      <c r="D81" s="3">
        <v>7</v>
      </c>
      <c r="E81" s="3">
        <v>3</v>
      </c>
      <c r="F81">
        <f>Table13[[#This Row],[Before]]-Table13[[#This Row],[After]]</f>
        <v>4</v>
      </c>
      <c r="G81" s="104">
        <f>Table13[[#This Row],[Difference (d) *]]-(SUM(Table13[Difference (d) *])/COUNT(Table13[Difference (d) *]))</f>
        <v>2.25</v>
      </c>
      <c r="H81" s="104">
        <f>Table13[[#This Row],[(d - dbar)]]^2</f>
        <v>5.0625</v>
      </c>
    </row>
    <row r="82" spans="1:23">
      <c r="C82" s="5" t="s">
        <v>319</v>
      </c>
      <c r="D82" s="3">
        <v>4</v>
      </c>
      <c r="E82" s="3">
        <v>3</v>
      </c>
      <c r="F82">
        <f>Table13[[#This Row],[Before]]-Table13[[#This Row],[After]]</f>
        <v>1</v>
      </c>
      <c r="G82" s="104">
        <f>Table13[[#This Row],[Difference (d) *]]-(SUM(Table13[Difference (d) *])/COUNT(Table13[Difference (d) *]))</f>
        <v>-0.75</v>
      </c>
      <c r="H82" s="104">
        <f>Table13[[#This Row],[(d - dbar)]]^2</f>
        <v>0.5625</v>
      </c>
    </row>
    <row r="83" spans="1:23">
      <c r="C83" s="5" t="s">
        <v>320</v>
      </c>
      <c r="D83" s="3">
        <v>3</v>
      </c>
      <c r="E83" s="3">
        <v>6</v>
      </c>
      <c r="F83">
        <f>Table13[[#This Row],[Before]]-Table13[[#This Row],[After]]</f>
        <v>-3</v>
      </c>
      <c r="G83" s="104">
        <f>Table13[[#This Row],[Difference (d) *]]-(SUM(Table13[Difference (d) *])/COUNT(Table13[Difference (d) *]))</f>
        <v>-4.75</v>
      </c>
      <c r="H83" s="104">
        <f>Table13[[#This Row],[(d - dbar)]]^2</f>
        <v>22.5625</v>
      </c>
    </row>
    <row r="84" spans="1:23">
      <c r="C84" s="5" t="s">
        <v>321</v>
      </c>
      <c r="D84" s="3">
        <v>5</v>
      </c>
      <c r="E84" s="3">
        <v>3</v>
      </c>
      <c r="F84">
        <f>Table13[[#This Row],[Before]]-Table13[[#This Row],[After]]</f>
        <v>2</v>
      </c>
      <c r="G84" s="104">
        <f>Table13[[#This Row],[Difference (d) *]]-(SUM(Table13[Difference (d) *])/COUNT(Table13[Difference (d) *]))</f>
        <v>0.25</v>
      </c>
      <c r="H84" s="104">
        <f>Table13[[#This Row],[(d - dbar)]]^2</f>
        <v>6.25E-2</v>
      </c>
    </row>
    <row r="85" spans="1:23">
      <c r="C85" s="5" t="s">
        <v>322</v>
      </c>
      <c r="D85" s="3">
        <v>6</v>
      </c>
      <c r="E85" s="3">
        <v>7</v>
      </c>
      <c r="F85">
        <f>Table13[[#This Row],[Before]]-Table13[[#This Row],[After]]</f>
        <v>-1</v>
      </c>
      <c r="G85" s="104">
        <f>Table13[[#This Row],[Difference (d) *]]-(SUM(Table13[Difference (d) *])/COUNT(Table13[Difference (d) *]))</f>
        <v>-2.75</v>
      </c>
      <c r="H85" s="104">
        <f>Table13[[#This Row],[(d - dbar)]]^2</f>
        <v>7.5625</v>
      </c>
    </row>
    <row r="87" spans="1:23">
      <c r="A87" s="1" t="s">
        <v>80</v>
      </c>
      <c r="K87" s="1" t="s">
        <v>81</v>
      </c>
    </row>
    <row r="88" spans="1:23" ht="12" customHeight="1">
      <c r="A88" s="1" t="s">
        <v>145</v>
      </c>
      <c r="B88" s="128" t="s">
        <v>325</v>
      </c>
      <c r="C88" s="128"/>
      <c r="D88" s="128"/>
      <c r="E88" s="128"/>
      <c r="F88" s="128"/>
      <c r="G88" s="128"/>
      <c r="H88" s="128"/>
      <c r="I88" s="128"/>
      <c r="K88" s="1" t="s">
        <v>265</v>
      </c>
    </row>
    <row r="89" spans="1:23">
      <c r="A89" s="1"/>
      <c r="B89" s="128"/>
      <c r="C89" s="128"/>
      <c r="D89" s="128"/>
      <c r="E89" s="128"/>
      <c r="F89" s="128"/>
      <c r="G89" s="128"/>
      <c r="H89" s="128"/>
      <c r="I89" s="128"/>
      <c r="K89" s="92" t="s">
        <v>196</v>
      </c>
      <c r="L89" s="62" t="s">
        <v>197</v>
      </c>
      <c r="M89" s="60"/>
      <c r="N89" s="53"/>
      <c r="O89" s="53"/>
      <c r="P89" s="53"/>
      <c r="R89" s="92" t="s">
        <v>144</v>
      </c>
      <c r="S89" s="62" t="s">
        <v>204</v>
      </c>
    </row>
    <row r="90" spans="1:23">
      <c r="A90" s="1"/>
      <c r="B90" s="128"/>
      <c r="C90" s="128"/>
      <c r="D90" s="128"/>
      <c r="E90" s="128"/>
      <c r="F90" s="128"/>
      <c r="G90" s="128"/>
      <c r="H90" s="128"/>
      <c r="I90" s="128"/>
      <c r="K90" s="62"/>
      <c r="L90" s="62"/>
      <c r="N90" s="60"/>
      <c r="O90" s="88" t="s">
        <v>250</v>
      </c>
      <c r="P90" s="88" t="s">
        <v>251</v>
      </c>
      <c r="T90" s="2" t="s">
        <v>213</v>
      </c>
      <c r="U90" s="43" t="str">
        <f>IF(NOT(ISERROR(FIND("!=",N98))),"Two",IF(NOT(ISERROR(FIND("&lt;",N98))),"Left","Right"))</f>
        <v>Right</v>
      </c>
      <c r="V90" s="43"/>
    </row>
    <row r="91" spans="1:23">
      <c r="A91" s="1"/>
      <c r="B91" s="128"/>
      <c r="C91" s="128"/>
      <c r="D91" s="128"/>
      <c r="E91" s="128"/>
      <c r="F91" s="128"/>
      <c r="G91" s="128"/>
      <c r="H91" s="128"/>
      <c r="I91" s="128"/>
      <c r="K91" s="102"/>
      <c r="L91" s="73"/>
      <c r="M91" s="73"/>
      <c r="N91" s="74" t="s">
        <v>148</v>
      </c>
      <c r="O91" s="124">
        <f>COUNT(D119:D126)</f>
        <v>8</v>
      </c>
      <c r="P91" s="124">
        <f>COUNT(E119:E126)</f>
        <v>8</v>
      </c>
      <c r="U91" t="str">
        <f>O90</f>
        <v>Before</v>
      </c>
      <c r="V91" t="str">
        <f>P90</f>
        <v>After</v>
      </c>
    </row>
    <row r="92" spans="1:23">
      <c r="A92" s="1"/>
      <c r="B92" s="128"/>
      <c r="C92" s="128"/>
      <c r="D92" s="128"/>
      <c r="E92" s="128"/>
      <c r="F92" s="128"/>
      <c r="G92" s="128"/>
      <c r="H92" s="128"/>
      <c r="I92" s="128"/>
      <c r="K92" s="102"/>
      <c r="L92" s="73"/>
      <c r="M92" s="73"/>
      <c r="N92" s="74" t="s">
        <v>282</v>
      </c>
      <c r="O92" s="119">
        <f>AVERAGE(D119:D126)</f>
        <v>8.7000000000000011</v>
      </c>
      <c r="P92" s="119">
        <f>AVERAGE(E119:E126)</f>
        <v>5.5875000000000004</v>
      </c>
      <c r="T92" s="2" t="s">
        <v>240</v>
      </c>
      <c r="U92" s="43">
        <f>O93^2/O91</f>
        <v>0.58357142857142763</v>
      </c>
      <c r="V92" s="43">
        <f>P93^2/P91</f>
        <v>0.85051339285714245</v>
      </c>
    </row>
    <row r="93" spans="1:23">
      <c r="A93" s="1"/>
      <c r="B93" s="128"/>
      <c r="C93" s="128"/>
      <c r="D93" s="128"/>
      <c r="E93" s="128"/>
      <c r="F93" s="128"/>
      <c r="G93" s="128"/>
      <c r="H93" s="128"/>
      <c r="I93" s="128"/>
      <c r="K93" s="102"/>
      <c r="L93" s="73"/>
      <c r="M93" s="73"/>
      <c r="N93" s="74" t="s">
        <v>239</v>
      </c>
      <c r="O93" s="119">
        <f>_xlfn.STDEV.S(D119:D126)</f>
        <v>2.1606877212062416</v>
      </c>
      <c r="P93" s="119">
        <f>_xlfn.STDEV.S(E119:E126)</f>
        <v>2.6084683518987037</v>
      </c>
      <c r="T93" s="2" t="s">
        <v>241</v>
      </c>
      <c r="U93" s="43">
        <f>U92^2</f>
        <v>0.34055561224489689</v>
      </c>
      <c r="V93" s="43">
        <f>V92^2</f>
        <v>0.72337303142936793</v>
      </c>
      <c r="W93" s="97"/>
    </row>
    <row r="94" spans="1:23">
      <c r="A94" s="1"/>
      <c r="B94" s="90"/>
      <c r="C94" s="90"/>
      <c r="D94" s="90"/>
      <c r="E94" s="90"/>
      <c r="F94" s="90"/>
      <c r="G94" s="90"/>
      <c r="H94" s="90"/>
      <c r="I94" s="90"/>
      <c r="K94" s="102"/>
      <c r="L94" s="73"/>
      <c r="M94" s="73"/>
      <c r="N94" s="74" t="s">
        <v>230</v>
      </c>
      <c r="O94" s="88">
        <v>0.05</v>
      </c>
      <c r="P94" s="103">
        <f>O94</f>
        <v>0.05</v>
      </c>
      <c r="T94" s="2" t="s">
        <v>45</v>
      </c>
      <c r="U94" s="43">
        <f>O91-1</f>
        <v>7</v>
      </c>
      <c r="V94" s="43"/>
      <c r="W94" s="97"/>
    </row>
    <row r="95" spans="1:23">
      <c r="A95" s="1"/>
      <c r="B95" s="128" t="s">
        <v>326</v>
      </c>
      <c r="C95" s="128"/>
      <c r="D95" s="128"/>
      <c r="E95" s="128"/>
      <c r="F95" s="128"/>
      <c r="G95" s="128"/>
      <c r="H95" s="128"/>
      <c r="I95" s="128"/>
      <c r="K95" s="53"/>
      <c r="L95" s="53"/>
      <c r="M95" s="53"/>
      <c r="N95" s="53"/>
      <c r="O95" s="53"/>
      <c r="P95" s="53"/>
      <c r="T95" s="2" t="s">
        <v>212</v>
      </c>
      <c r="U95" s="43" t="str">
        <f>IF(U90="Two",P102/2,IF(U90="Left",P102,""))</f>
        <v/>
      </c>
      <c r="V95" s="43" t="str">
        <f>IF(P109="z-value",IFERROR(ROUND(_xlfn.NORM.S.INV(U95),3),""),IFERROR(ROUND(_xlfn.T.INV(U95,U94),3),""))</f>
        <v/>
      </c>
      <c r="W95" s="53"/>
    </row>
    <row r="96" spans="1:23">
      <c r="A96" s="1"/>
      <c r="B96" s="128"/>
      <c r="C96" s="128"/>
      <c r="D96" s="128"/>
      <c r="E96" s="128"/>
      <c r="F96" s="128"/>
      <c r="G96" s="128"/>
      <c r="H96" s="128"/>
      <c r="I96" s="128"/>
      <c r="K96" s="92" t="s">
        <v>141</v>
      </c>
      <c r="L96" s="62" t="s">
        <v>198</v>
      </c>
      <c r="O96" s="53"/>
      <c r="P96" s="53"/>
      <c r="T96" s="2" t="s">
        <v>214</v>
      </c>
      <c r="U96" s="43">
        <f>IF(U90="Two",1-P102/2,IF(U90="Left","",1-P102))</f>
        <v>0.95</v>
      </c>
      <c r="V96" s="43">
        <f>IF(P109="z-value",IFERROR(ROUND(_xlfn.NORM.S.INV(U96),3),""),IFERROR(ROUND(_xlfn.T.INV(U96,U94),3),""))</f>
        <v>1.895</v>
      </c>
    </row>
    <row r="97" spans="1:23">
      <c r="A97" s="1"/>
      <c r="B97" s="90"/>
      <c r="C97" s="90"/>
      <c r="D97" s="90"/>
      <c r="E97" s="90"/>
      <c r="F97" s="90"/>
      <c r="G97" s="90"/>
      <c r="H97" s="90"/>
      <c r="I97" s="90"/>
      <c r="K97" s="53"/>
      <c r="L97" s="112"/>
      <c r="M97" s="113" t="s">
        <v>171</v>
      </c>
      <c r="N97" s="114" t="s">
        <v>269</v>
      </c>
      <c r="O97" s="115"/>
      <c r="P97" s="116"/>
      <c r="U97" s="17" t="s">
        <v>210</v>
      </c>
      <c r="V97" s="27" t="str">
        <f>IF(U90="Left",P109&amp;" &lt; "&amp;V95,IF(U90="Right",P109&amp;" &gt; "&amp;V96,P109&amp;" &lt; "&amp;V95&amp;" OR "&amp;P109&amp;" &gt; "&amp;V96))</f>
        <v>t-value &gt; 1.895</v>
      </c>
    </row>
    <row r="98" spans="1:23">
      <c r="A98" s="1"/>
      <c r="B98" s="90"/>
      <c r="C98" s="90"/>
      <c r="D98" s="90"/>
      <c r="E98" s="90"/>
      <c r="F98" s="90"/>
      <c r="G98" s="90"/>
      <c r="H98" s="90"/>
      <c r="I98" s="90"/>
      <c r="K98" s="62"/>
      <c r="L98" s="112"/>
      <c r="M98" s="113" t="s">
        <v>172</v>
      </c>
      <c r="N98" s="114" t="s">
        <v>268</v>
      </c>
      <c r="O98" s="115"/>
      <c r="P98" s="116"/>
    </row>
    <row r="99" spans="1:23">
      <c r="A99" s="1"/>
      <c r="B99" s="90"/>
      <c r="C99" s="90"/>
      <c r="D99" s="90"/>
      <c r="E99" s="90"/>
      <c r="F99" s="90"/>
      <c r="G99" s="90"/>
      <c r="H99" s="90"/>
      <c r="I99" s="90"/>
      <c r="L99" s="134" t="s">
        <v>335</v>
      </c>
      <c r="M99" s="134"/>
      <c r="N99" s="134"/>
      <c r="O99" s="134"/>
      <c r="P99" s="134"/>
    </row>
    <row r="100" spans="1:23">
      <c r="A100" s="1"/>
      <c r="B100" s="90"/>
      <c r="C100" s="90"/>
      <c r="D100" s="90"/>
      <c r="E100" s="90"/>
      <c r="F100" s="90"/>
      <c r="G100" s="90"/>
      <c r="H100" s="90"/>
      <c r="I100" s="90"/>
      <c r="R100" s="92" t="s">
        <v>217</v>
      </c>
      <c r="S100" s="62" t="s">
        <v>216</v>
      </c>
      <c r="T100" s="53"/>
      <c r="U100" s="53"/>
      <c r="V100" s="53"/>
    </row>
    <row r="101" spans="1:23">
      <c r="A101" s="1"/>
      <c r="B101" s="90"/>
      <c r="C101" s="90"/>
      <c r="D101" s="90"/>
      <c r="E101" s="90"/>
      <c r="F101" s="90"/>
      <c r="G101" s="90"/>
      <c r="H101" s="90"/>
      <c r="I101" s="90"/>
      <c r="K101" s="92" t="s">
        <v>142</v>
      </c>
      <c r="L101" s="62" t="s">
        <v>199</v>
      </c>
      <c r="M101" s="53"/>
      <c r="N101" s="53"/>
      <c r="O101" s="53"/>
      <c r="P101" s="53"/>
      <c r="R101" s="62"/>
      <c r="S101" s="53"/>
      <c r="T101" s="2" t="s">
        <v>207</v>
      </c>
      <c r="U101" s="106">
        <f>O92-P92</f>
        <v>3.1125000000000007</v>
      </c>
    </row>
    <row r="102" spans="1:23">
      <c r="B102" s="90"/>
      <c r="C102" s="90"/>
      <c r="D102" s="90"/>
      <c r="E102" s="90"/>
      <c r="F102" s="90"/>
      <c r="G102" s="90"/>
      <c r="H102" s="90"/>
      <c r="I102" s="90"/>
      <c r="K102" s="53"/>
      <c r="L102" s="53"/>
      <c r="O102" s="94" t="s">
        <v>63</v>
      </c>
      <c r="P102" s="98">
        <f>O94</f>
        <v>0.05</v>
      </c>
      <c r="R102" s="53"/>
      <c r="S102" s="53"/>
      <c r="T102" s="2"/>
      <c r="U102" s="1" t="str">
        <f>O90</f>
        <v>Before</v>
      </c>
      <c r="V102" s="1" t="str">
        <f>P90</f>
        <v>After</v>
      </c>
    </row>
    <row r="103" spans="1:23">
      <c r="B103" s="90"/>
      <c r="C103" s="90"/>
      <c r="D103" s="90"/>
      <c r="E103" s="90"/>
      <c r="F103" s="90"/>
      <c r="G103" s="90"/>
      <c r="H103" s="90"/>
      <c r="I103" s="90"/>
      <c r="K103" s="93"/>
      <c r="L103" s="53"/>
      <c r="M103" s="53"/>
      <c r="N103" s="53"/>
      <c r="O103" s="53"/>
      <c r="P103" s="53"/>
      <c r="R103" s="53"/>
      <c r="S103" s="53"/>
      <c r="T103" s="2" t="s">
        <v>240</v>
      </c>
      <c r="U103" s="43">
        <f>O93^2/O91</f>
        <v>0.58357142857142763</v>
      </c>
      <c r="V103" s="43">
        <f>P93^2/P91</f>
        <v>0.85051339285714245</v>
      </c>
    </row>
    <row r="104" spans="1:23">
      <c r="B104" s="1"/>
      <c r="C104" s="105"/>
      <c r="D104" s="105"/>
      <c r="K104" s="92" t="s">
        <v>143</v>
      </c>
      <c r="L104" s="62" t="s">
        <v>205</v>
      </c>
      <c r="M104" s="53"/>
      <c r="N104" s="53"/>
      <c r="O104" s="53"/>
      <c r="P104" s="53"/>
      <c r="R104" s="53"/>
      <c r="S104" s="53"/>
      <c r="T104" s="2" t="str">
        <f>"Test statistic: "&amp;P109</f>
        <v>Test statistic: t-value</v>
      </c>
      <c r="U104" s="43">
        <f>F105/(F106/SQRT(O91))</f>
        <v>3.023923321756433</v>
      </c>
      <c r="V104" s="43"/>
    </row>
    <row r="105" spans="1:23">
      <c r="E105" s="17" t="s">
        <v>273</v>
      </c>
      <c r="F105" s="118">
        <f>SUM(Table134[Difference (d) *])/COUNT(Table134[Difference (d) *])</f>
        <v>3.1124999999999998</v>
      </c>
      <c r="M105" s="95"/>
      <c r="O105" s="96" t="s">
        <v>209</v>
      </c>
      <c r="P105" s="95" t="b">
        <f>AND(O93&lt;&gt;"",P93&lt;&gt;"")</f>
        <v>1</v>
      </c>
      <c r="U105" t="str">
        <f>SUBSTITUTE(V97,P109,ROUND(U104,3))</f>
        <v>3.024 &gt; 1.895</v>
      </c>
    </row>
    <row r="106" spans="1:23">
      <c r="E106" s="17" t="s">
        <v>271</v>
      </c>
      <c r="F106" s="118">
        <f>SQRT(H117/U94)</f>
        <v>2.9112773337979525</v>
      </c>
      <c r="G106" s="90"/>
      <c r="H106" s="90"/>
      <c r="K106" s="62"/>
      <c r="M106" s="95"/>
      <c r="O106" s="96" t="s">
        <v>235</v>
      </c>
      <c r="P106" s="84" t="b">
        <f>O93=P93</f>
        <v>0</v>
      </c>
      <c r="T106" s="43"/>
      <c r="U106" s="3" t="b">
        <v>1</v>
      </c>
    </row>
    <row r="107" spans="1:23">
      <c r="D107" s="111" t="s">
        <v>279</v>
      </c>
      <c r="G107" s="90"/>
      <c r="H107" s="90"/>
      <c r="O107" s="96" t="s">
        <v>203</v>
      </c>
      <c r="P107" s="95" t="b">
        <v>1</v>
      </c>
      <c r="S107" s="62" t="str">
        <f>IF(U106,"Reject H0", "Fail to Reject H0")</f>
        <v>Reject H0</v>
      </c>
    </row>
    <row r="108" spans="1:23">
      <c r="D108" s="111" t="s">
        <v>281</v>
      </c>
    </row>
    <row r="109" spans="1:23">
      <c r="D109" s="111" t="s">
        <v>276</v>
      </c>
      <c r="E109" s="111"/>
      <c r="F109" s="111"/>
      <c r="G109" s="111"/>
      <c r="H109" s="111"/>
      <c r="O109" s="17" t="s">
        <v>206</v>
      </c>
      <c r="P109" s="91" t="str">
        <f>IF(AND(P105,P107,P106),"z-value","t-value")</f>
        <v>t-value</v>
      </c>
      <c r="R109" s="92" t="s">
        <v>218</v>
      </c>
      <c r="S109" s="1" t="s">
        <v>219</v>
      </c>
    </row>
    <row r="110" spans="1:23">
      <c r="D110" s="111" t="s">
        <v>275</v>
      </c>
      <c r="E110" s="111"/>
      <c r="F110" s="111"/>
      <c r="G110" s="111"/>
      <c r="H110" s="111"/>
      <c r="S110" t="s">
        <v>25</v>
      </c>
      <c r="T110">
        <f>ROUND(IF(U90="Right",_xlfn.T.DIST.RT(ABS(U104),U94),IF(U90="Left",1-_xlfn.T.DIST(ABS(U104),U94,TRUE),_xlfn.T.DIST.2T(ABS(U104),U94))),4)</f>
        <v>9.5999999999999992E-3</v>
      </c>
    </row>
    <row r="111" spans="1:23">
      <c r="D111" s="111"/>
      <c r="E111" s="111"/>
      <c r="F111" s="111"/>
      <c r="G111" s="111"/>
      <c r="H111" s="111"/>
      <c r="S111" s="62" t="str">
        <f>IF(T110&lt;P102,"Reject H0", "Fail to Reject H0")</f>
        <v>Reject H0</v>
      </c>
    </row>
    <row r="112" spans="1:23">
      <c r="D112" s="111" t="s">
        <v>277</v>
      </c>
      <c r="E112" s="111"/>
      <c r="F112" s="111"/>
      <c r="G112" s="111"/>
      <c r="H112" s="111"/>
      <c r="S112" s="133" t="str">
        <f>"We can"&amp;IF(T110&lt;P102,"","not")&amp;" conclude that "&amp;L99&amp;"."</f>
        <v>We can conclude that the contamination measurements are lower after use of the new soap.</v>
      </c>
      <c r="T112" s="133"/>
      <c r="U112" s="133"/>
      <c r="V112" s="133"/>
      <c r="W112" s="133"/>
    </row>
    <row r="113" spans="2:23">
      <c r="D113" s="111" t="s">
        <v>278</v>
      </c>
      <c r="E113" s="111"/>
      <c r="F113" s="111"/>
      <c r="G113" s="111"/>
      <c r="H113" s="111"/>
      <c r="S113" s="133"/>
      <c r="T113" s="133"/>
      <c r="U113" s="133"/>
      <c r="V113" s="133"/>
      <c r="W113" s="133"/>
    </row>
    <row r="114" spans="2:23">
      <c r="E114" s="111"/>
      <c r="F114" s="111"/>
      <c r="G114" s="111"/>
      <c r="H114" s="111"/>
      <c r="S114" s="133"/>
      <c r="T114" s="133"/>
      <c r="U114" s="133"/>
      <c r="V114" s="133"/>
      <c r="W114" s="133"/>
    </row>
    <row r="115" spans="2:23">
      <c r="D115" s="111" t="s">
        <v>324</v>
      </c>
      <c r="S115" s="133"/>
      <c r="T115" s="133"/>
      <c r="U115" s="133"/>
      <c r="V115" s="133"/>
      <c r="W115" s="133"/>
    </row>
    <row r="116" spans="2:23">
      <c r="D116" s="111" t="s">
        <v>278</v>
      </c>
    </row>
    <row r="117" spans="2:23">
      <c r="F117" s="90">
        <f>SUM(Table134[Difference (d) *])</f>
        <v>24.9</v>
      </c>
      <c r="G117" s="110">
        <f>SUM(Table134[(d - dbar)])</f>
        <v>0</v>
      </c>
      <c r="H117" s="110">
        <f>SUM(Table134[(d - dbar)^2])</f>
        <v>59.328749999999992</v>
      </c>
      <c r="R117" s="53"/>
    </row>
    <row r="118" spans="2:23">
      <c r="B118" s="90"/>
      <c r="C118" s="109" t="s">
        <v>314</v>
      </c>
      <c r="D118" s="109" t="s">
        <v>250</v>
      </c>
      <c r="E118" s="109" t="s">
        <v>251</v>
      </c>
      <c r="F118" s="117" t="s">
        <v>280</v>
      </c>
      <c r="G118" s="1" t="s">
        <v>266</v>
      </c>
      <c r="H118" s="1" t="s">
        <v>267</v>
      </c>
      <c r="I118" s="90"/>
    </row>
    <row r="119" spans="2:23">
      <c r="B119" s="90"/>
      <c r="C119" s="5" t="s">
        <v>327</v>
      </c>
      <c r="D119" s="125">
        <v>6.6</v>
      </c>
      <c r="E119" s="125">
        <v>6.8</v>
      </c>
      <c r="F119">
        <f>Table134[[#This Row],[Before]]-Table134[[#This Row],[After]]</f>
        <v>-0.20000000000000018</v>
      </c>
      <c r="G119" s="104">
        <f>Table134[[#This Row],[Difference (d) *]]-(SUM(Table134[Difference (d) *])/COUNT(Table134[Difference (d) *]))</f>
        <v>-3.3125</v>
      </c>
      <c r="H119" s="104">
        <f>Table134[[#This Row],[(d - dbar)]]^2</f>
        <v>10.97265625</v>
      </c>
      <c r="I119" s="90"/>
    </row>
    <row r="120" spans="2:23">
      <c r="B120" s="90"/>
      <c r="C120" s="5" t="s">
        <v>328</v>
      </c>
      <c r="D120" s="125">
        <v>6.5</v>
      </c>
      <c r="E120" s="125">
        <v>2.4</v>
      </c>
      <c r="F120">
        <f>Table134[[#This Row],[Before]]-Table134[[#This Row],[After]]</f>
        <v>4.0999999999999996</v>
      </c>
      <c r="G120" s="104">
        <f>Table134[[#This Row],[Difference (d) *]]-(SUM(Table134[Difference (d) *])/COUNT(Table134[Difference (d) *]))</f>
        <v>0.98749999999999982</v>
      </c>
      <c r="H120" s="104">
        <f>Table134[[#This Row],[(d - dbar)]]^2</f>
        <v>0.97515624999999961</v>
      </c>
      <c r="I120" s="90"/>
    </row>
    <row r="121" spans="2:23">
      <c r="B121" s="90"/>
      <c r="C121" s="5" t="s">
        <v>329</v>
      </c>
      <c r="D121" s="125">
        <v>9</v>
      </c>
      <c r="E121" s="125">
        <v>7.4</v>
      </c>
      <c r="F121">
        <f>Table134[[#This Row],[Before]]-Table134[[#This Row],[After]]</f>
        <v>1.5999999999999996</v>
      </c>
      <c r="G121" s="104">
        <f>Table134[[#This Row],[Difference (d) *]]-(SUM(Table134[Difference (d) *])/COUNT(Table134[Difference (d) *]))</f>
        <v>-1.5125000000000002</v>
      </c>
      <c r="H121" s="104">
        <f>Table134[[#This Row],[(d - dbar)]]^2</f>
        <v>2.2876562500000004</v>
      </c>
      <c r="I121" s="90"/>
    </row>
    <row r="122" spans="2:23">
      <c r="C122" s="5" t="s">
        <v>330</v>
      </c>
      <c r="D122" s="125">
        <v>10.3</v>
      </c>
      <c r="E122" s="125">
        <v>8.5</v>
      </c>
      <c r="F122">
        <f>Table134[[#This Row],[Before]]-Table134[[#This Row],[After]]</f>
        <v>1.8000000000000007</v>
      </c>
      <c r="G122" s="104">
        <f>Table134[[#This Row],[Difference (d) *]]-(SUM(Table134[Difference (d) *])/COUNT(Table134[Difference (d) *]))</f>
        <v>-1.3124999999999991</v>
      </c>
      <c r="H122" s="104">
        <f>Table134[[#This Row],[(d - dbar)]]^2</f>
        <v>1.7226562499999978</v>
      </c>
    </row>
    <row r="123" spans="2:23">
      <c r="C123" s="5" t="s">
        <v>331</v>
      </c>
      <c r="D123" s="125">
        <v>11.2</v>
      </c>
      <c r="E123" s="125">
        <v>8.1</v>
      </c>
      <c r="F123">
        <f>Table134[[#This Row],[Before]]-Table134[[#This Row],[After]]</f>
        <v>3.0999999999999996</v>
      </c>
      <c r="G123" s="104">
        <f>Table134[[#This Row],[Difference (d) *]]-(SUM(Table134[Difference (d) *])/COUNT(Table134[Difference (d) *]))</f>
        <v>-1.2500000000000178E-2</v>
      </c>
      <c r="H123" s="104">
        <f>Table134[[#This Row],[(d - dbar)]]^2</f>
        <v>1.5625000000000445E-4</v>
      </c>
    </row>
    <row r="124" spans="2:23">
      <c r="C124" s="5" t="s">
        <v>332</v>
      </c>
      <c r="D124" s="125">
        <v>8.1</v>
      </c>
      <c r="E124" s="125">
        <v>6.1</v>
      </c>
      <c r="F124">
        <f>Table134[[#This Row],[Before]]-Table134[[#This Row],[After]]</f>
        <v>2</v>
      </c>
      <c r="G124" s="104">
        <f>Table134[[#This Row],[Difference (d) *]]-(SUM(Table134[Difference (d) *])/COUNT(Table134[Difference (d) *]))</f>
        <v>-1.1124999999999998</v>
      </c>
      <c r="H124" s="104">
        <f>Table134[[#This Row],[(d - dbar)]]^2</f>
        <v>1.2376562499999997</v>
      </c>
    </row>
    <row r="125" spans="2:23">
      <c r="C125" s="5" t="s">
        <v>333</v>
      </c>
      <c r="D125" s="125">
        <v>6.3</v>
      </c>
      <c r="E125" s="125">
        <v>3.4</v>
      </c>
      <c r="F125">
        <f>Table134[[#This Row],[Before]]-Table134[[#This Row],[After]]</f>
        <v>2.9</v>
      </c>
      <c r="G125" s="104">
        <f>Table134[[#This Row],[Difference (d) *]]-(SUM(Table134[Difference (d) *])/COUNT(Table134[Difference (d) *]))</f>
        <v>-0.21249999999999991</v>
      </c>
      <c r="H125" s="104">
        <f>Table134[[#This Row],[(d - dbar)]]^2</f>
        <v>4.515624999999996E-2</v>
      </c>
    </row>
    <row r="126" spans="2:23">
      <c r="C126" s="5" t="s">
        <v>334</v>
      </c>
      <c r="D126" s="125">
        <v>11.6</v>
      </c>
      <c r="E126" s="125">
        <v>2</v>
      </c>
      <c r="F126">
        <f>Table134[[#This Row],[Before]]-Table134[[#This Row],[After]]</f>
        <v>9.6</v>
      </c>
      <c r="G126" s="104">
        <f>Table134[[#This Row],[Difference (d) *]]-(SUM(Table134[Difference (d) *])/COUNT(Table134[Difference (d) *]))</f>
        <v>6.4874999999999998</v>
      </c>
      <c r="H126" s="104">
        <f>Table134[[#This Row],[(d - dbar)]]^2</f>
        <v>42.087656249999995</v>
      </c>
    </row>
  </sheetData>
  <mergeCells count="10">
    <mergeCell ref="L13:P13"/>
    <mergeCell ref="S26:W29"/>
    <mergeCell ref="B2:I17"/>
    <mergeCell ref="S112:W115"/>
    <mergeCell ref="B88:I93"/>
    <mergeCell ref="B95:I96"/>
    <mergeCell ref="B47:I62"/>
    <mergeCell ref="L58:P58"/>
    <mergeCell ref="S71:W74"/>
    <mergeCell ref="L99:P99"/>
  </mergeCells>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B246-1F07-42D3-8525-F84CB90D5CCE}">
  <dimension ref="D1:M13"/>
  <sheetViews>
    <sheetView workbookViewId="0">
      <selection activeCell="D9" sqref="D9"/>
    </sheetView>
  </sheetViews>
  <sheetFormatPr defaultRowHeight="12"/>
  <cols>
    <col min="12" max="12" width="40.5703125" bestFit="1" customWidth="1"/>
  </cols>
  <sheetData>
    <row r="1" spans="4:13">
      <c r="D1" s="1" t="s">
        <v>135</v>
      </c>
      <c r="E1" s="1" t="s">
        <v>136</v>
      </c>
    </row>
    <row r="2" spans="4:13">
      <c r="D2" s="2" t="s">
        <v>139</v>
      </c>
      <c r="E2" t="s">
        <v>137</v>
      </c>
      <c r="J2" s="36">
        <v>10</v>
      </c>
      <c r="K2" s="126">
        <v>44132</v>
      </c>
      <c r="L2" s="36" t="s">
        <v>178</v>
      </c>
      <c r="M2" s="36" t="s">
        <v>179</v>
      </c>
    </row>
    <row r="3" spans="4:13">
      <c r="D3" s="2" t="s">
        <v>140</v>
      </c>
      <c r="E3" t="s">
        <v>138</v>
      </c>
      <c r="J3">
        <v>11</v>
      </c>
      <c r="K3" s="89">
        <v>44139</v>
      </c>
      <c r="L3" t="s">
        <v>180</v>
      </c>
      <c r="M3" s="36" t="s">
        <v>6</v>
      </c>
    </row>
    <row r="4" spans="4:13">
      <c r="D4" s="2" t="s">
        <v>133</v>
      </c>
      <c r="E4" t="s">
        <v>134</v>
      </c>
      <c r="M4" t="s">
        <v>7</v>
      </c>
    </row>
    <row r="5" spans="4:13">
      <c r="D5" s="2" t="s">
        <v>222</v>
      </c>
      <c r="E5" t="s">
        <v>228</v>
      </c>
    </row>
    <row r="6" spans="4:13">
      <c r="D6" s="2" t="s">
        <v>288</v>
      </c>
      <c r="E6" t="s">
        <v>247</v>
      </c>
      <c r="J6">
        <v>12</v>
      </c>
      <c r="K6" s="89">
        <v>44146</v>
      </c>
      <c r="L6" t="s">
        <v>181</v>
      </c>
    </row>
    <row r="7" spans="4:13">
      <c r="D7" s="2" t="s">
        <v>294</v>
      </c>
      <c r="E7" t="s">
        <v>311</v>
      </c>
      <c r="J7">
        <v>13</v>
      </c>
      <c r="K7" s="89">
        <v>44153</v>
      </c>
      <c r="L7" t="s">
        <v>182</v>
      </c>
      <c r="M7" t="s">
        <v>8</v>
      </c>
    </row>
    <row r="8" spans="4:13">
      <c r="D8" s="2" t="s">
        <v>274</v>
      </c>
      <c r="E8" t="s">
        <v>336</v>
      </c>
      <c r="J8">
        <v>14</v>
      </c>
      <c r="K8" s="89">
        <v>44160</v>
      </c>
      <c r="L8" t="s">
        <v>183</v>
      </c>
    </row>
    <row r="9" spans="4:13">
      <c r="J9">
        <v>15</v>
      </c>
      <c r="K9" s="89">
        <v>44167</v>
      </c>
      <c r="L9" t="s">
        <v>184</v>
      </c>
      <c r="M9" t="s">
        <v>9</v>
      </c>
    </row>
    <row r="10" spans="4:13">
      <c r="J10">
        <v>16</v>
      </c>
      <c r="K10" s="89">
        <v>44174</v>
      </c>
      <c r="L10" t="s">
        <v>185</v>
      </c>
    </row>
    <row r="11" spans="4:13">
      <c r="E11" t="s">
        <v>7</v>
      </c>
      <c r="L11" t="s">
        <v>186</v>
      </c>
    </row>
    <row r="12" spans="4:13">
      <c r="E12" t="s">
        <v>8</v>
      </c>
      <c r="J12">
        <v>17</v>
      </c>
      <c r="K12" s="89">
        <v>44181</v>
      </c>
      <c r="L12" t="s">
        <v>187</v>
      </c>
    </row>
    <row r="13" spans="4:13">
      <c r="E13" t="s">
        <v>9</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B29D-1E30-4E60-B718-064FA93780B5}">
  <dimension ref="A1:AE27"/>
  <sheetViews>
    <sheetView tabSelected="1" workbookViewId="0">
      <selection activeCell="S17" sqref="S17"/>
    </sheetView>
  </sheetViews>
  <sheetFormatPr defaultRowHeight="12"/>
  <cols>
    <col min="1" max="1" width="5" customWidth="1"/>
    <col min="2" max="2" width="9.42578125" customWidth="1"/>
    <col min="3" max="5" width="9.5703125" customWidth="1"/>
    <col min="18" max="18" width="10.28515625" customWidth="1"/>
    <col min="19" max="19" width="12.42578125" customWidth="1"/>
    <col min="20" max="20" width="4.28515625" bestFit="1" customWidth="1"/>
    <col min="21" max="21" width="12.42578125" customWidth="1"/>
    <col min="22" max="22" width="9.28515625" bestFit="1" customWidth="1"/>
    <col min="23" max="23" width="12.42578125" customWidth="1"/>
  </cols>
  <sheetData>
    <row r="1" spans="1:23">
      <c r="A1" s="1" t="s">
        <v>80</v>
      </c>
      <c r="K1" s="1" t="s">
        <v>81</v>
      </c>
    </row>
    <row r="2" spans="1:23" ht="12" customHeight="1">
      <c r="A2" s="1" t="s">
        <v>337</v>
      </c>
      <c r="B2" s="135" t="s">
        <v>338</v>
      </c>
      <c r="C2" s="135"/>
      <c r="D2" s="135"/>
      <c r="E2" s="135"/>
      <c r="F2" s="135"/>
      <c r="G2" s="135"/>
      <c r="H2" s="135"/>
      <c r="I2" s="135"/>
    </row>
    <row r="3" spans="1:23">
      <c r="B3" s="135"/>
      <c r="C3" s="135"/>
      <c r="D3" s="135"/>
      <c r="E3" s="135"/>
      <c r="F3" s="135"/>
      <c r="G3" s="135"/>
      <c r="H3" s="135"/>
      <c r="I3" s="135"/>
      <c r="K3" s="92" t="s">
        <v>196</v>
      </c>
      <c r="L3" s="62" t="s">
        <v>197</v>
      </c>
      <c r="M3" s="60"/>
      <c r="N3" s="53"/>
      <c r="O3" s="53"/>
      <c r="P3" s="53"/>
      <c r="R3" s="92" t="s">
        <v>217</v>
      </c>
      <c r="S3" s="62" t="s">
        <v>216</v>
      </c>
      <c r="T3" s="53"/>
    </row>
    <row r="4" spans="1:23">
      <c r="B4" s="135"/>
      <c r="C4" s="135"/>
      <c r="D4" s="135"/>
      <c r="E4" s="135"/>
      <c r="F4" s="135"/>
      <c r="G4" s="135"/>
      <c r="H4" s="135"/>
      <c r="I4" s="135"/>
      <c r="K4" s="62"/>
      <c r="L4" s="62"/>
      <c r="N4" s="60" t="s">
        <v>355</v>
      </c>
      <c r="O4" s="88">
        <f>COUNTA(Table4[#Headers])</f>
        <v>3</v>
      </c>
      <c r="P4" s="53"/>
    </row>
    <row r="5" spans="1:23">
      <c r="B5" s="17" t="s">
        <v>347</v>
      </c>
      <c r="C5" t="s">
        <v>342</v>
      </c>
      <c r="D5" s="136"/>
      <c r="E5" s="136"/>
      <c r="F5" s="136"/>
      <c r="G5" s="136"/>
      <c r="H5" s="136"/>
      <c r="I5" s="136"/>
      <c r="K5" s="102"/>
      <c r="L5" s="73"/>
      <c r="M5" s="73"/>
      <c r="N5" s="74" t="s">
        <v>356</v>
      </c>
      <c r="O5" s="88">
        <f>COUNT(Table4[])</f>
        <v>12</v>
      </c>
      <c r="P5" s="53"/>
      <c r="S5" t="s">
        <v>369</v>
      </c>
      <c r="W5" s="97"/>
    </row>
    <row r="6" spans="1:23">
      <c r="B6" s="17" t="s">
        <v>348</v>
      </c>
      <c r="C6" t="s">
        <v>343</v>
      </c>
      <c r="F6" s="136"/>
      <c r="G6" s="136"/>
      <c r="H6" s="136"/>
      <c r="I6" s="136"/>
      <c r="K6" s="102"/>
      <c r="L6" s="73"/>
      <c r="M6" s="73"/>
      <c r="N6" s="74" t="s">
        <v>374</v>
      </c>
      <c r="O6" s="88">
        <f>AVERAGE(Table4[])</f>
        <v>5.083333333333333</v>
      </c>
      <c r="P6" s="53"/>
      <c r="W6" s="97"/>
    </row>
    <row r="7" spans="1:23">
      <c r="B7" s="17" t="s">
        <v>349</v>
      </c>
      <c r="C7" t="s">
        <v>344</v>
      </c>
      <c r="F7" s="136"/>
      <c r="G7" s="136"/>
      <c r="H7" s="136"/>
      <c r="I7" s="136"/>
      <c r="K7" s="102"/>
      <c r="L7" s="73"/>
      <c r="M7" s="73"/>
      <c r="N7" s="74"/>
      <c r="O7" s="88"/>
      <c r="P7" s="53"/>
      <c r="W7" s="53"/>
    </row>
    <row r="8" spans="1:23">
      <c r="B8" s="17" t="s">
        <v>350</v>
      </c>
      <c r="C8" t="s">
        <v>345</v>
      </c>
      <c r="F8" s="136"/>
      <c r="G8" s="136"/>
      <c r="H8" s="136"/>
      <c r="I8" s="136"/>
      <c r="K8" s="102"/>
      <c r="L8" s="73"/>
      <c r="M8" s="73"/>
      <c r="N8" s="74" t="s">
        <v>151</v>
      </c>
      <c r="O8" s="88">
        <v>0.05</v>
      </c>
      <c r="P8" s="53"/>
      <c r="W8" s="53"/>
    </row>
    <row r="9" spans="1:23">
      <c r="B9" s="17" t="s">
        <v>351</v>
      </c>
      <c r="C9" t="s">
        <v>346</v>
      </c>
      <c r="F9" s="136"/>
      <c r="G9" s="136"/>
      <c r="H9" s="136"/>
      <c r="I9" s="136"/>
      <c r="K9" s="53"/>
      <c r="L9" s="53"/>
      <c r="M9" s="53"/>
      <c r="N9" s="53"/>
      <c r="O9" s="53"/>
      <c r="P9" s="53"/>
      <c r="U9" s="53"/>
      <c r="V9" s="53"/>
    </row>
    <row r="10" spans="1:23">
      <c r="B10" s="136"/>
      <c r="F10" s="136"/>
      <c r="G10" s="136"/>
      <c r="H10" s="136"/>
      <c r="I10" s="136"/>
      <c r="K10" s="92" t="s">
        <v>141</v>
      </c>
      <c r="L10" s="62" t="s">
        <v>198</v>
      </c>
      <c r="O10" s="53"/>
      <c r="P10" s="53"/>
      <c r="R10" s="138" t="s">
        <v>362</v>
      </c>
      <c r="S10" s="138"/>
      <c r="T10" s="138"/>
      <c r="U10" s="138"/>
      <c r="V10" s="138"/>
    </row>
    <row r="11" spans="1:23" ht="24">
      <c r="C11" s="137" t="s">
        <v>339</v>
      </c>
      <c r="D11" s="137" t="s">
        <v>340</v>
      </c>
      <c r="E11" s="137" t="s">
        <v>341</v>
      </c>
      <c r="F11" s="136"/>
      <c r="K11" s="53"/>
      <c r="L11" s="53"/>
      <c r="N11" s="99" t="s">
        <v>171</v>
      </c>
      <c r="O11" s="100" t="s">
        <v>352</v>
      </c>
      <c r="P11" s="73"/>
      <c r="R11" s="139" t="s">
        <v>363</v>
      </c>
      <c r="S11" s="139" t="s">
        <v>364</v>
      </c>
      <c r="T11" s="139" t="s">
        <v>45</v>
      </c>
      <c r="U11" s="139" t="s">
        <v>365</v>
      </c>
      <c r="V11" s="139" t="s">
        <v>332</v>
      </c>
    </row>
    <row r="12" spans="1:23">
      <c r="C12" s="137">
        <v>8</v>
      </c>
      <c r="D12" s="137">
        <v>3</v>
      </c>
      <c r="E12" s="137">
        <v>3</v>
      </c>
      <c r="K12" s="62"/>
      <c r="L12" s="53"/>
      <c r="N12" s="99" t="s">
        <v>172</v>
      </c>
      <c r="O12" s="100" t="s">
        <v>353</v>
      </c>
      <c r="P12" s="73"/>
      <c r="R12" s="43" t="s">
        <v>366</v>
      </c>
      <c r="S12" s="43" t="s">
        <v>369</v>
      </c>
      <c r="T12" s="43" t="str">
        <f>O21</f>
        <v>k - 1</v>
      </c>
      <c r="U12" s="43" t="s">
        <v>371</v>
      </c>
      <c r="V12" s="43" t="s">
        <v>373</v>
      </c>
    </row>
    <row r="13" spans="1:23">
      <c r="C13" s="137">
        <v>6</v>
      </c>
      <c r="D13" s="137">
        <v>2</v>
      </c>
      <c r="E13" s="137">
        <v>4</v>
      </c>
      <c r="R13" s="43" t="s">
        <v>367</v>
      </c>
      <c r="S13" s="43" t="s">
        <v>370</v>
      </c>
      <c r="T13" s="43" t="str">
        <f>O22</f>
        <v>n - k</v>
      </c>
      <c r="U13" s="43" t="s">
        <v>372</v>
      </c>
      <c r="V13" s="43"/>
    </row>
    <row r="14" spans="1:23">
      <c r="C14" s="137">
        <v>10</v>
      </c>
      <c r="D14" s="137">
        <v>4</v>
      </c>
      <c r="E14" s="137">
        <v>5</v>
      </c>
      <c r="K14" s="92" t="s">
        <v>142</v>
      </c>
      <c r="L14" s="62" t="s">
        <v>199</v>
      </c>
      <c r="M14" s="53"/>
      <c r="N14" s="53"/>
      <c r="O14" s="53"/>
      <c r="P14" s="53"/>
      <c r="R14" s="37" t="s">
        <v>368</v>
      </c>
    </row>
    <row r="15" spans="1:23">
      <c r="C15" s="137">
        <v>9</v>
      </c>
      <c r="D15" s="137">
        <v>3</v>
      </c>
      <c r="E15" s="137">
        <v>4</v>
      </c>
      <c r="K15" s="53"/>
      <c r="L15" s="53"/>
      <c r="O15" s="94" t="s">
        <v>63</v>
      </c>
      <c r="P15" s="98">
        <f>O8</f>
        <v>0.05</v>
      </c>
    </row>
    <row r="16" spans="1:23">
      <c r="K16" s="93"/>
      <c r="L16" s="53"/>
      <c r="M16" s="53"/>
      <c r="N16" s="53"/>
      <c r="O16" s="53"/>
      <c r="P16" s="53"/>
    </row>
    <row r="17" spans="11:31">
      <c r="K17" s="92" t="s">
        <v>143</v>
      </c>
      <c r="L17" s="62" t="s">
        <v>205</v>
      </c>
      <c r="M17" s="53"/>
      <c r="N17" s="53"/>
      <c r="O17" s="53"/>
      <c r="P17" s="53"/>
    </row>
    <row r="18" spans="11:31">
      <c r="M18" s="95"/>
      <c r="O18" s="17" t="s">
        <v>206</v>
      </c>
      <c r="P18" s="91" t="s">
        <v>354</v>
      </c>
    </row>
    <row r="20" spans="11:31">
      <c r="K20" s="92" t="s">
        <v>144</v>
      </c>
      <c r="L20" s="62" t="s">
        <v>204</v>
      </c>
      <c r="P20" s="95"/>
      <c r="R20" s="92" t="s">
        <v>218</v>
      </c>
      <c r="S20" s="1" t="s">
        <v>219</v>
      </c>
    </row>
    <row r="21" spans="11:31">
      <c r="M21" s="2" t="s">
        <v>357</v>
      </c>
      <c r="N21">
        <f>O4-1</f>
        <v>2</v>
      </c>
      <c r="O21" s="97" t="s">
        <v>360</v>
      </c>
      <c r="S21" s="132"/>
      <c r="T21" s="132"/>
      <c r="U21" s="132"/>
      <c r="V21" s="132"/>
      <c r="W21" s="132"/>
    </row>
    <row r="22" spans="11:31">
      <c r="M22" s="2" t="s">
        <v>358</v>
      </c>
      <c r="N22">
        <f>O5-O4</f>
        <v>9</v>
      </c>
      <c r="O22" t="s">
        <v>361</v>
      </c>
      <c r="S22" s="132"/>
      <c r="T22" s="132"/>
      <c r="U22" s="132"/>
      <c r="V22" s="132"/>
      <c r="W22" s="132"/>
    </row>
    <row r="23" spans="11:31">
      <c r="M23" s="2" t="s">
        <v>306</v>
      </c>
      <c r="N23">
        <f>_xlfn.F.INV.RT(P15,N21,N22)</f>
        <v>4.2564947290937507</v>
      </c>
      <c r="O23" s="97" t="s">
        <v>359</v>
      </c>
      <c r="S23" s="132"/>
      <c r="T23" s="132"/>
      <c r="U23" s="132"/>
      <c r="V23" s="132"/>
      <c r="W23" s="132"/>
    </row>
    <row r="24" spans="11:31">
      <c r="L24" s="17" t="s">
        <v>210</v>
      </c>
      <c r="M24" s="27" t="str">
        <f>P18&amp;" &gt; "&amp;ROUND(N23,2)</f>
        <v>f-value &gt; 4.26</v>
      </c>
      <c r="S24" s="132"/>
      <c r="T24" s="132"/>
      <c r="U24" s="132"/>
      <c r="V24" s="132"/>
      <c r="W24" s="132"/>
    </row>
    <row r="27" spans="11:31">
      <c r="AE27" s="53"/>
    </row>
  </sheetData>
  <mergeCells count="3">
    <mergeCell ref="B2:I4"/>
    <mergeCell ref="S21:W24"/>
    <mergeCell ref="R10:V10"/>
  </mergeCells>
  <pageMargins left="0.7" right="0.7" top="0.75" bottom="0.75" header="0.3" footer="0.3"/>
  <pageSetup orientation="portrait" horizontalDpi="0"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72EF-43A3-4F8D-B7B5-88643A557C4D}">
  <dimension ref="A1:O42"/>
  <sheetViews>
    <sheetView workbookViewId="0">
      <selection activeCell="O5" sqref="O5"/>
    </sheetView>
  </sheetViews>
  <sheetFormatPr defaultRowHeight="12"/>
  <cols>
    <col min="1" max="1" width="3.42578125" bestFit="1" customWidth="1"/>
    <col min="2" max="11" width="6.42578125" customWidth="1"/>
  </cols>
  <sheetData>
    <row r="1" spans="1:15">
      <c r="A1" s="10" t="s">
        <v>17</v>
      </c>
      <c r="B1" s="11">
        <v>0</v>
      </c>
      <c r="C1" s="12">
        <v>0.01</v>
      </c>
      <c r="D1" s="12">
        <v>0.02</v>
      </c>
      <c r="E1" s="12">
        <v>0.03</v>
      </c>
      <c r="F1" s="12">
        <v>0.04</v>
      </c>
      <c r="G1" s="12">
        <v>0.05</v>
      </c>
      <c r="H1" s="12">
        <v>0.06</v>
      </c>
      <c r="I1" s="12">
        <v>7.0000000000000007E-2</v>
      </c>
      <c r="J1" s="12">
        <v>0.08</v>
      </c>
      <c r="K1" s="12">
        <v>0.09</v>
      </c>
    </row>
    <row r="2" spans="1:15">
      <c r="A2" s="1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2" t="s">
        <v>29</v>
      </c>
      <c r="O2" s="15">
        <v>0.95</v>
      </c>
    </row>
    <row r="3" spans="1:15">
      <c r="A3" s="1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2" t="s">
        <v>30</v>
      </c>
      <c r="O3" s="16">
        <f>_xlfn.FLOOR.MATH(O2*10)/10</f>
        <v>0.9</v>
      </c>
    </row>
    <row r="4" spans="1:15">
      <c r="A4" s="1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2" t="s">
        <v>31</v>
      </c>
      <c r="O4" s="16">
        <f>O2-O3</f>
        <v>4.9999999999999933E-2</v>
      </c>
    </row>
    <row r="5" spans="1:15">
      <c r="A5" s="1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17" t="s">
        <v>32</v>
      </c>
      <c r="O5" s="18">
        <f>_xlfn.NORM.S.DIST(O2,TRUE)-0.5</f>
        <v>0.32894387369151812</v>
      </c>
    </row>
    <row r="6" spans="1:15">
      <c r="A6" s="1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c r="A7" s="1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c r="N7" s="2" t="s">
        <v>33</v>
      </c>
      <c r="O7" s="19">
        <v>0.05</v>
      </c>
    </row>
    <row r="8" spans="1:15">
      <c r="A8" s="1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c r="N8" s="2" t="s">
        <v>32</v>
      </c>
      <c r="O8" s="20">
        <f>0.5-O7</f>
        <v>0.45</v>
      </c>
    </row>
    <row r="9" spans="1:15">
      <c r="A9" s="1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c r="N9" s="8"/>
    </row>
    <row r="10" spans="1:15">
      <c r="A10" s="1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c r="A11" s="1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c r="A12" s="1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c r="A13" s="1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c r="A14" s="1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c r="A15" s="1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c r="A16" s="1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4">
      <c r="A17" s="1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4">
      <c r="A18" s="1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c r="M18" s="20"/>
    </row>
    <row r="19" spans="1:14">
      <c r="A19" s="1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4">
      <c r="A20" s="1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4">
      <c r="A21" s="1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4">
      <c r="A22" s="1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c r="N22" s="20"/>
    </row>
    <row r="23" spans="1:14">
      <c r="A23" s="1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4">
      <c r="A24" s="1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4">
      <c r="A25" s="1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4">
      <c r="A26" s="1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4">
      <c r="A27" s="1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4">
      <c r="A28" s="1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4">
      <c r="A29" s="1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4">
      <c r="A30" s="1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4">
      <c r="A31" s="1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4">
      <c r="A32" s="1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c r="A33" s="1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c r="A34" s="1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c r="A35" s="1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c r="A36" s="1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c r="A37" s="1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c r="A38" s="1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c r="A39" s="1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c r="A40" s="1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c r="A41" s="1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c r="A42" s="1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3" priority="4" operator="equal">
      <formula>$O$3</formula>
    </cfRule>
  </conditionalFormatting>
  <conditionalFormatting sqref="B1:K1">
    <cfRule type="cellIs" dxfId="2" priority="3"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AAC-DFF7-4683-BD98-0F2B1504CD5B}">
  <dimension ref="A1:AF42"/>
  <sheetViews>
    <sheetView workbookViewId="0">
      <selection activeCell="V13" sqref="V13"/>
    </sheetView>
  </sheetViews>
  <sheetFormatPr defaultRowHeight="12"/>
  <sheetData>
    <row r="1" spans="1:32">
      <c r="A1" t="s">
        <v>34</v>
      </c>
    </row>
    <row r="2" spans="1:32">
      <c r="U2" s="10"/>
      <c r="V2" s="21"/>
      <c r="W2" s="21"/>
      <c r="X2" s="21"/>
      <c r="Y2" s="21"/>
      <c r="Z2" s="21"/>
      <c r="AA2" s="22"/>
      <c r="AB2" s="21"/>
      <c r="AC2" s="22"/>
      <c r="AD2" s="22"/>
      <c r="AE2" s="22"/>
      <c r="AF2" s="22"/>
    </row>
    <row r="3" spans="1:32">
      <c r="U3" s="10"/>
      <c r="V3" s="21"/>
      <c r="W3" s="21"/>
      <c r="X3" s="21"/>
      <c r="Y3" s="21"/>
      <c r="Z3" s="21"/>
      <c r="AA3" s="21"/>
      <c r="AB3" s="21"/>
      <c r="AC3" s="21"/>
      <c r="AD3" s="22"/>
      <c r="AE3" s="22"/>
      <c r="AF3" s="22"/>
    </row>
    <row r="4" spans="1:32">
      <c r="U4" s="12"/>
      <c r="V4" s="23"/>
      <c r="W4" s="23"/>
      <c r="X4" s="23"/>
      <c r="Y4" s="23"/>
      <c r="Z4" s="23"/>
      <c r="AA4" s="23"/>
      <c r="AB4" s="23"/>
      <c r="AC4" s="23"/>
      <c r="AD4" s="23"/>
      <c r="AE4" s="23"/>
      <c r="AF4" s="23"/>
    </row>
    <row r="5" spans="1:32">
      <c r="U5" s="12"/>
      <c r="V5" s="23"/>
      <c r="W5" s="23"/>
      <c r="X5" s="23"/>
      <c r="Y5" s="23"/>
      <c r="Z5" s="23"/>
      <c r="AA5" s="23"/>
      <c r="AB5" s="23"/>
      <c r="AC5" s="23"/>
      <c r="AD5" s="23"/>
      <c r="AE5" s="23"/>
      <c r="AF5" s="23"/>
    </row>
    <row r="6" spans="1:32">
      <c r="U6" s="12"/>
      <c r="V6" s="23"/>
      <c r="W6" s="23"/>
      <c r="X6" s="23"/>
      <c r="Y6" s="23"/>
      <c r="Z6" s="23"/>
      <c r="AA6" s="23"/>
      <c r="AB6" s="23"/>
      <c r="AC6" s="23"/>
      <c r="AD6" s="23"/>
      <c r="AE6" s="23"/>
      <c r="AF6" s="23"/>
    </row>
    <row r="7" spans="1:32">
      <c r="U7" s="12"/>
      <c r="V7" s="23"/>
      <c r="W7" s="23"/>
      <c r="X7" s="23"/>
      <c r="Y7" s="23"/>
      <c r="Z7" s="23"/>
      <c r="AA7" s="23"/>
      <c r="AB7" s="23"/>
      <c r="AC7" s="23"/>
      <c r="AD7" s="23"/>
      <c r="AE7" s="23"/>
      <c r="AF7" s="23"/>
    </row>
    <row r="8" spans="1:32">
      <c r="U8" s="12"/>
      <c r="V8" s="23"/>
      <c r="W8" s="23"/>
      <c r="X8" s="23"/>
      <c r="Y8" s="23"/>
      <c r="Z8" s="23"/>
      <c r="AA8" s="23"/>
      <c r="AB8" s="23"/>
      <c r="AC8" s="23"/>
      <c r="AD8" s="23"/>
      <c r="AE8" s="23"/>
      <c r="AF8" s="23"/>
    </row>
    <row r="9" spans="1:32">
      <c r="U9" s="12"/>
      <c r="V9" s="23"/>
      <c r="W9" s="23"/>
      <c r="X9" s="23"/>
      <c r="Y9" s="23"/>
      <c r="Z9" s="23"/>
      <c r="AA9" s="23"/>
      <c r="AB9" s="23"/>
      <c r="AC9" s="23"/>
      <c r="AD9" s="23"/>
      <c r="AE9" s="23"/>
      <c r="AF9" s="23"/>
    </row>
    <row r="10" spans="1:32">
      <c r="U10" s="12"/>
      <c r="V10" s="23"/>
      <c r="W10" s="23"/>
      <c r="X10" s="23"/>
      <c r="Y10" s="23"/>
      <c r="Z10" s="23"/>
      <c r="AA10" s="23"/>
      <c r="AB10" s="23"/>
      <c r="AC10" s="23"/>
      <c r="AD10" s="23"/>
      <c r="AE10" s="23"/>
      <c r="AF10" s="23"/>
    </row>
    <row r="11" spans="1:32">
      <c r="U11" s="12"/>
      <c r="V11" s="23"/>
      <c r="W11" s="23"/>
      <c r="X11" s="23"/>
      <c r="Y11" s="23"/>
      <c r="Z11" s="23"/>
      <c r="AA11" s="23"/>
      <c r="AB11" s="23"/>
      <c r="AC11" s="23"/>
      <c r="AD11" s="23"/>
      <c r="AE11" s="23"/>
      <c r="AF11" s="23"/>
    </row>
    <row r="12" spans="1:32">
      <c r="U12" s="12"/>
      <c r="V12" s="23"/>
      <c r="W12" s="23"/>
      <c r="X12" s="23"/>
      <c r="Y12" s="23"/>
      <c r="Z12" s="23"/>
      <c r="AA12" s="23"/>
      <c r="AB12" s="23"/>
      <c r="AC12" s="23"/>
      <c r="AD12" s="23"/>
      <c r="AE12" s="23"/>
      <c r="AF12" s="23"/>
    </row>
    <row r="13" spans="1:32">
      <c r="U13" s="12"/>
      <c r="V13" s="23"/>
      <c r="W13" s="23"/>
      <c r="X13" s="23"/>
      <c r="Y13" s="23"/>
      <c r="Z13" s="23"/>
      <c r="AA13" s="23"/>
      <c r="AB13" s="23"/>
      <c r="AC13" s="23"/>
      <c r="AD13" s="23"/>
      <c r="AE13" s="23"/>
      <c r="AF13" s="23"/>
    </row>
    <row r="14" spans="1:32">
      <c r="U14" s="12"/>
      <c r="V14" s="23"/>
      <c r="W14" s="23"/>
      <c r="X14" s="23"/>
      <c r="Y14" s="23"/>
      <c r="Z14" s="23"/>
      <c r="AA14" s="23"/>
      <c r="AB14" s="23"/>
      <c r="AC14" s="23"/>
      <c r="AD14" s="23"/>
      <c r="AE14" s="23"/>
      <c r="AF14" s="23"/>
    </row>
    <row r="15" spans="1:32">
      <c r="U15" s="12"/>
      <c r="V15" s="23"/>
      <c r="W15" s="23"/>
      <c r="X15" s="23"/>
      <c r="Y15" s="23"/>
      <c r="Z15" s="23"/>
      <c r="AA15" s="23"/>
      <c r="AB15" s="23"/>
      <c r="AC15" s="23"/>
      <c r="AD15" s="23"/>
      <c r="AE15" s="23"/>
      <c r="AF15" s="23"/>
    </row>
    <row r="16" spans="1:32">
      <c r="U16" s="12"/>
      <c r="V16" s="23"/>
      <c r="W16" s="23"/>
      <c r="X16" s="23"/>
      <c r="Y16" s="23"/>
      <c r="Z16" s="23"/>
      <c r="AA16" s="23"/>
      <c r="AB16" s="23"/>
      <c r="AC16" s="23"/>
      <c r="AD16" s="23"/>
      <c r="AE16" s="23"/>
      <c r="AF16" s="23"/>
    </row>
    <row r="17" spans="21:32">
      <c r="U17" s="12"/>
      <c r="V17" s="23"/>
      <c r="W17" s="23"/>
      <c r="X17" s="23"/>
      <c r="Y17" s="23"/>
      <c r="Z17" s="23"/>
      <c r="AA17" s="23"/>
      <c r="AB17" s="23"/>
      <c r="AC17" s="23"/>
      <c r="AD17" s="23"/>
      <c r="AE17" s="23"/>
      <c r="AF17" s="23"/>
    </row>
    <row r="18" spans="21:32">
      <c r="U18" s="12"/>
      <c r="V18" s="23"/>
      <c r="W18" s="23"/>
      <c r="X18" s="23"/>
      <c r="Y18" s="23"/>
      <c r="Z18" s="23"/>
      <c r="AA18" s="23"/>
      <c r="AB18" s="23"/>
      <c r="AC18" s="23"/>
      <c r="AD18" s="23"/>
      <c r="AE18" s="23"/>
      <c r="AF18" s="23"/>
    </row>
    <row r="19" spans="21:32">
      <c r="U19" s="12"/>
      <c r="V19" s="23"/>
      <c r="W19" s="23"/>
      <c r="X19" s="23"/>
      <c r="Y19" s="23"/>
      <c r="Z19" s="23"/>
      <c r="AA19" s="23"/>
      <c r="AB19" s="23"/>
      <c r="AC19" s="23"/>
      <c r="AD19" s="23"/>
      <c r="AE19" s="23"/>
      <c r="AF19" s="23"/>
    </row>
    <row r="20" spans="21:32">
      <c r="U20" s="12"/>
      <c r="V20" s="23"/>
      <c r="W20" s="23"/>
      <c r="X20" s="23"/>
      <c r="Y20" s="23"/>
      <c r="Z20" s="23"/>
      <c r="AA20" s="23"/>
      <c r="AB20" s="23"/>
      <c r="AC20" s="23"/>
      <c r="AD20" s="23"/>
      <c r="AE20" s="23"/>
      <c r="AF20" s="23"/>
    </row>
    <row r="21" spans="21:32">
      <c r="U21" s="12"/>
      <c r="V21" s="23"/>
      <c r="W21" s="23"/>
      <c r="X21" s="23"/>
      <c r="Y21" s="23"/>
      <c r="Z21" s="23"/>
      <c r="AA21" s="23"/>
      <c r="AB21" s="23"/>
      <c r="AC21" s="23"/>
      <c r="AD21" s="23"/>
      <c r="AE21" s="23"/>
      <c r="AF21" s="23"/>
    </row>
    <row r="22" spans="21:32">
      <c r="U22" s="12"/>
      <c r="V22" s="23"/>
      <c r="W22" s="23"/>
      <c r="X22" s="23"/>
      <c r="Y22" s="23"/>
      <c r="Z22" s="23"/>
      <c r="AA22" s="23"/>
      <c r="AB22" s="23"/>
      <c r="AC22" s="23"/>
      <c r="AD22" s="23"/>
      <c r="AE22" s="23"/>
      <c r="AF22" s="23"/>
    </row>
    <row r="23" spans="21:32">
      <c r="U23" s="12"/>
      <c r="V23" s="23"/>
      <c r="W23" s="23"/>
      <c r="X23" s="23"/>
      <c r="Y23" s="23"/>
      <c r="Z23" s="23"/>
      <c r="AA23" s="23"/>
      <c r="AB23" s="23"/>
      <c r="AC23" s="23"/>
      <c r="AD23" s="23"/>
      <c r="AE23" s="23"/>
      <c r="AF23" s="23"/>
    </row>
    <row r="24" spans="21:32">
      <c r="U24" s="12"/>
      <c r="V24" s="23"/>
      <c r="W24" s="23"/>
      <c r="X24" s="23"/>
      <c r="Y24" s="23"/>
      <c r="Z24" s="23"/>
      <c r="AA24" s="23"/>
      <c r="AB24" s="23"/>
      <c r="AC24" s="23"/>
      <c r="AD24" s="23"/>
      <c r="AE24" s="23"/>
      <c r="AF24" s="23"/>
    </row>
    <row r="25" spans="21:32">
      <c r="U25" s="12"/>
      <c r="V25" s="23"/>
      <c r="W25" s="23"/>
      <c r="X25" s="23"/>
      <c r="Y25" s="23"/>
      <c r="Z25" s="23"/>
      <c r="AA25" s="23"/>
      <c r="AB25" s="23"/>
      <c r="AC25" s="23"/>
      <c r="AD25" s="23"/>
      <c r="AE25" s="23"/>
      <c r="AF25" s="23"/>
    </row>
    <row r="26" spans="21:32">
      <c r="U26" s="12"/>
      <c r="V26" s="23"/>
      <c r="W26" s="23"/>
      <c r="X26" s="23"/>
      <c r="Y26" s="23"/>
      <c r="Z26" s="23"/>
      <c r="AA26" s="23"/>
      <c r="AB26" s="23"/>
      <c r="AC26" s="23"/>
      <c r="AD26" s="23"/>
      <c r="AE26" s="23"/>
      <c r="AF26" s="23"/>
    </row>
    <row r="27" spans="21:32">
      <c r="U27" s="12"/>
      <c r="V27" s="23"/>
      <c r="W27" s="23"/>
      <c r="X27" s="23"/>
      <c r="Y27" s="23"/>
      <c r="Z27" s="23"/>
      <c r="AA27" s="23"/>
      <c r="AB27" s="23"/>
      <c r="AC27" s="23"/>
      <c r="AD27" s="23"/>
      <c r="AE27" s="23"/>
      <c r="AF27" s="23"/>
    </row>
    <row r="28" spans="21:32">
      <c r="U28" s="12"/>
      <c r="V28" s="23"/>
      <c r="W28" s="23"/>
      <c r="X28" s="23"/>
      <c r="Y28" s="23"/>
      <c r="Z28" s="23"/>
      <c r="AA28" s="23"/>
      <c r="AB28" s="23"/>
      <c r="AC28" s="23"/>
      <c r="AD28" s="23"/>
      <c r="AE28" s="23"/>
      <c r="AF28" s="23"/>
    </row>
    <row r="29" spans="21:32">
      <c r="U29" s="12"/>
      <c r="V29" s="23"/>
      <c r="W29" s="23"/>
      <c r="X29" s="23"/>
      <c r="Y29" s="23"/>
      <c r="Z29" s="23"/>
      <c r="AA29" s="23"/>
      <c r="AB29" s="23"/>
      <c r="AC29" s="23"/>
      <c r="AD29" s="23"/>
      <c r="AE29" s="23"/>
      <c r="AF29" s="23"/>
    </row>
    <row r="30" spans="21:32">
      <c r="U30" s="12"/>
      <c r="V30" s="23"/>
      <c r="W30" s="23"/>
      <c r="X30" s="23"/>
      <c r="Y30" s="23"/>
      <c r="Z30" s="23"/>
      <c r="AA30" s="23"/>
      <c r="AB30" s="23"/>
      <c r="AC30" s="23"/>
      <c r="AD30" s="23"/>
      <c r="AE30" s="23"/>
      <c r="AF30" s="23"/>
    </row>
    <row r="31" spans="21:32">
      <c r="U31" s="12"/>
      <c r="V31" s="23"/>
      <c r="W31" s="23"/>
      <c r="X31" s="23"/>
      <c r="Y31" s="23"/>
      <c r="Z31" s="23"/>
      <c r="AA31" s="23"/>
      <c r="AB31" s="23"/>
      <c r="AC31" s="23"/>
      <c r="AD31" s="23"/>
      <c r="AE31" s="23"/>
      <c r="AF31" s="23"/>
    </row>
    <row r="32" spans="21:32">
      <c r="U32" s="12"/>
      <c r="V32" s="23"/>
      <c r="W32" s="23"/>
      <c r="X32" s="23"/>
      <c r="Y32" s="23"/>
      <c r="Z32" s="23"/>
      <c r="AA32" s="23"/>
      <c r="AB32" s="23"/>
      <c r="AC32" s="23"/>
      <c r="AD32" s="23"/>
      <c r="AE32" s="23"/>
      <c r="AF32" s="23"/>
    </row>
    <row r="33" spans="21:32">
      <c r="U33" s="12"/>
      <c r="V33" s="23"/>
      <c r="W33" s="23"/>
      <c r="X33" s="23"/>
      <c r="Y33" s="23"/>
      <c r="Z33" s="23"/>
      <c r="AA33" s="23"/>
      <c r="AB33" s="23"/>
      <c r="AC33" s="23"/>
      <c r="AD33" s="23"/>
      <c r="AE33" s="23"/>
      <c r="AF33" s="23"/>
    </row>
    <row r="34" spans="21:32">
      <c r="U34" s="12"/>
      <c r="V34" s="23"/>
      <c r="W34" s="23"/>
      <c r="X34" s="23"/>
      <c r="Y34" s="23"/>
      <c r="Z34" s="23"/>
      <c r="AA34" s="23"/>
      <c r="AB34" s="23"/>
      <c r="AC34" s="23"/>
      <c r="AD34" s="23"/>
      <c r="AE34" s="23"/>
      <c r="AF34" s="23"/>
    </row>
    <row r="35" spans="21:32">
      <c r="U35" s="12"/>
      <c r="V35" s="23"/>
      <c r="W35" s="23"/>
      <c r="X35" s="23"/>
      <c r="Y35" s="23"/>
      <c r="Z35" s="23"/>
      <c r="AA35" s="23"/>
      <c r="AB35" s="23"/>
      <c r="AC35" s="23"/>
      <c r="AD35" s="23"/>
      <c r="AE35" s="23"/>
      <c r="AF35" s="23"/>
    </row>
    <row r="36" spans="21:32">
      <c r="U36" s="12"/>
      <c r="V36" s="23"/>
      <c r="W36" s="23"/>
      <c r="X36" s="23"/>
      <c r="Y36" s="23"/>
      <c r="Z36" s="23"/>
      <c r="AA36" s="23"/>
      <c r="AB36" s="23"/>
      <c r="AC36" s="23"/>
      <c r="AD36" s="23"/>
      <c r="AE36" s="23"/>
      <c r="AF36" s="23"/>
    </row>
    <row r="37" spans="21:32">
      <c r="U37" s="12"/>
      <c r="V37" s="23"/>
      <c r="W37" s="23"/>
      <c r="X37" s="23"/>
      <c r="Y37" s="23"/>
      <c r="Z37" s="23"/>
      <c r="AA37" s="23"/>
      <c r="AB37" s="23"/>
      <c r="AC37" s="23"/>
      <c r="AD37" s="23"/>
      <c r="AE37" s="23"/>
      <c r="AF37" s="23"/>
    </row>
    <row r="38" spans="21:32">
      <c r="U38" s="12"/>
      <c r="V38" s="23"/>
      <c r="W38" s="23"/>
      <c r="X38" s="23"/>
      <c r="Y38" s="23"/>
      <c r="Z38" s="23"/>
      <c r="AA38" s="23"/>
      <c r="AB38" s="23"/>
      <c r="AC38" s="23"/>
      <c r="AD38" s="23"/>
      <c r="AE38" s="23"/>
      <c r="AF38" s="23"/>
    </row>
    <row r="39" spans="21:32">
      <c r="U39" s="12"/>
      <c r="V39" s="23"/>
      <c r="W39" s="23"/>
      <c r="X39" s="23"/>
      <c r="Y39" s="23"/>
      <c r="Z39" s="23"/>
      <c r="AA39" s="23"/>
      <c r="AB39" s="23"/>
      <c r="AC39" s="23"/>
      <c r="AD39" s="23"/>
      <c r="AE39" s="23"/>
      <c r="AF39" s="23"/>
    </row>
    <row r="40" spans="21:32">
      <c r="U40" s="12"/>
      <c r="V40" s="23"/>
      <c r="W40" s="23"/>
      <c r="X40" s="23"/>
      <c r="Y40" s="23"/>
      <c r="Z40" s="23"/>
      <c r="AA40" s="23"/>
      <c r="AB40" s="23"/>
      <c r="AC40" s="23"/>
      <c r="AD40" s="23"/>
      <c r="AE40" s="23"/>
      <c r="AF40" s="23"/>
    </row>
    <row r="41" spans="21:32">
      <c r="U41" s="10"/>
      <c r="V41" s="21"/>
      <c r="W41" s="21"/>
      <c r="X41" s="21"/>
      <c r="Y41" s="21"/>
      <c r="Z41" s="21"/>
      <c r="AA41" s="22"/>
      <c r="AB41" s="21"/>
      <c r="AC41" s="22"/>
      <c r="AD41" s="22"/>
      <c r="AE41" s="22"/>
      <c r="AF41" s="22"/>
    </row>
    <row r="42" spans="21:32">
      <c r="U42" s="10"/>
      <c r="V42" s="21"/>
      <c r="W42" s="21"/>
      <c r="X42" s="21"/>
      <c r="Y42" s="21"/>
      <c r="Z42" s="21"/>
      <c r="AA42" s="21"/>
      <c r="AB42" s="21"/>
      <c r="AC42" s="21"/>
      <c r="AD42" s="22"/>
      <c r="AE42" s="22"/>
      <c r="AF42" s="2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96FE-1F3F-46D0-9B69-AADE54999C15}">
  <dimension ref="A2"/>
  <sheetViews>
    <sheetView workbookViewId="0">
      <selection activeCell="A3" sqref="A3"/>
    </sheetView>
  </sheetViews>
  <sheetFormatPr defaultRowHeight="12"/>
  <sheetData>
    <row r="2" spans="1:1">
      <c r="A2" s="123" t="s">
        <v>305</v>
      </c>
    </row>
  </sheetData>
  <hyperlinks>
    <hyperlink ref="A2" r:id="rId1" xr:uid="{FEF216D0-2B68-49EB-A3EA-D2E2CA1DF3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B74C-CB07-4DDA-9CF8-5466436436E1}">
  <dimension ref="A1:P162"/>
  <sheetViews>
    <sheetView topLeftCell="A41" workbookViewId="0">
      <selection activeCell="O58" sqref="O58"/>
    </sheetView>
  </sheetViews>
  <sheetFormatPr defaultRowHeight="12"/>
  <cols>
    <col min="1" max="1" width="5.42578125" bestFit="1" customWidth="1"/>
    <col min="9" max="9" width="9.140625" customWidth="1"/>
  </cols>
  <sheetData>
    <row r="1" spans="1:16">
      <c r="A1" s="1" t="s">
        <v>80</v>
      </c>
      <c r="K1" s="1" t="str">
        <f>"Hypothesis Test with "&amp;IF(O4&lt;&gt;"","a ","an un")&amp;"known sigma"</f>
        <v>Hypothesis Test with a known sigma</v>
      </c>
    </row>
    <row r="2" spans="1:16">
      <c r="A2" s="1" t="s">
        <v>0</v>
      </c>
      <c r="B2" s="128" t="s">
        <v>86</v>
      </c>
      <c r="C2" s="128"/>
      <c r="D2" s="128"/>
      <c r="E2" s="128"/>
      <c r="F2" s="128"/>
      <c r="G2" s="128"/>
      <c r="H2" s="128"/>
      <c r="I2" s="128"/>
      <c r="K2" s="1">
        <v>1</v>
      </c>
      <c r="L2" s="1" t="s">
        <v>71</v>
      </c>
    </row>
    <row r="3" spans="1:16">
      <c r="A3" s="1"/>
      <c r="B3" s="128"/>
      <c r="C3" s="128"/>
      <c r="D3" s="128"/>
      <c r="E3" s="128"/>
      <c r="F3" s="128"/>
      <c r="G3" s="128"/>
      <c r="H3" s="128"/>
      <c r="I3" s="128"/>
      <c r="M3" s="2" t="s">
        <v>18</v>
      </c>
      <c r="N3" s="2" t="s">
        <v>12</v>
      </c>
      <c r="O3" s="38">
        <v>60000</v>
      </c>
      <c r="P3" t="s">
        <v>57</v>
      </c>
    </row>
    <row r="4" spans="1:16">
      <c r="A4" s="1"/>
      <c r="B4" s="128"/>
      <c r="C4" s="128"/>
      <c r="D4" s="128"/>
      <c r="E4" s="128"/>
      <c r="F4" s="128"/>
      <c r="G4" s="128"/>
      <c r="H4" s="128"/>
      <c r="I4" s="128"/>
      <c r="M4" s="2" t="s">
        <v>19</v>
      </c>
      <c r="N4" s="2" t="s">
        <v>13</v>
      </c>
      <c r="O4" s="38">
        <v>5000</v>
      </c>
    </row>
    <row r="5" spans="1:16">
      <c r="A5" s="1"/>
      <c r="B5" s="128"/>
      <c r="C5" s="128"/>
      <c r="D5" s="128"/>
      <c r="E5" s="128"/>
      <c r="F5" s="128"/>
      <c r="G5" s="128"/>
      <c r="H5" s="128"/>
      <c r="I5" s="128"/>
      <c r="M5" s="2" t="s">
        <v>20</v>
      </c>
      <c r="N5" s="2" t="s">
        <v>14</v>
      </c>
      <c r="O5" s="38">
        <v>59500</v>
      </c>
      <c r="P5" t="s">
        <v>54</v>
      </c>
    </row>
    <row r="6" spans="1:16">
      <c r="A6" s="1"/>
      <c r="B6" s="128"/>
      <c r="C6" s="128"/>
      <c r="D6" s="128"/>
      <c r="E6" s="128"/>
      <c r="F6" s="128"/>
      <c r="G6" s="128"/>
      <c r="H6" s="128"/>
      <c r="I6" s="128"/>
      <c r="M6" s="2" t="s">
        <v>22</v>
      </c>
      <c r="N6" s="2" t="s">
        <v>15</v>
      </c>
      <c r="O6" s="38">
        <v>48</v>
      </c>
      <c r="P6" t="s">
        <v>56</v>
      </c>
    </row>
    <row r="7" spans="1:16">
      <c r="A7" s="1"/>
      <c r="B7" s="128"/>
      <c r="C7" s="128"/>
      <c r="D7" s="128"/>
      <c r="E7" s="128"/>
      <c r="F7" s="128"/>
      <c r="G7" s="128"/>
      <c r="H7" s="128"/>
      <c r="I7" s="128"/>
      <c r="M7" s="2" t="s">
        <v>42</v>
      </c>
      <c r="N7" s="2" t="s">
        <v>43</v>
      </c>
      <c r="O7" s="39"/>
    </row>
    <row r="8" spans="1:16">
      <c r="A8" s="1"/>
      <c r="B8" s="128"/>
      <c r="C8" s="128"/>
      <c r="D8" s="128"/>
      <c r="E8" s="128"/>
      <c r="F8" s="128"/>
      <c r="G8" s="128"/>
      <c r="H8" s="128"/>
      <c r="I8" s="128"/>
      <c r="M8" s="2" t="s">
        <v>23</v>
      </c>
      <c r="O8" s="38">
        <v>0.95</v>
      </c>
    </row>
    <row r="9" spans="1:16">
      <c r="A9" s="1"/>
      <c r="B9" s="128"/>
      <c r="C9" s="128"/>
      <c r="D9" s="128"/>
      <c r="E9" s="128"/>
      <c r="F9" s="128"/>
      <c r="G9" s="128"/>
      <c r="H9" s="128"/>
      <c r="I9" s="128"/>
      <c r="M9" s="2" t="s">
        <v>88</v>
      </c>
      <c r="O9" s="38" t="s">
        <v>39</v>
      </c>
    </row>
    <row r="10" spans="1:16">
      <c r="A10" s="1"/>
      <c r="B10" s="1" t="s">
        <v>1</v>
      </c>
      <c r="C10" s="1"/>
      <c r="D10" s="1"/>
      <c r="E10" s="1"/>
      <c r="F10" s="1"/>
      <c r="G10" s="1"/>
      <c r="H10" s="1"/>
      <c r="I10" s="1"/>
      <c r="M10" s="31" t="s">
        <v>16</v>
      </c>
      <c r="N10" s="31" t="s">
        <v>63</v>
      </c>
      <c r="O10" s="40">
        <f>1-O8</f>
        <v>5.0000000000000044E-2</v>
      </c>
      <c r="P10" t="s">
        <v>66</v>
      </c>
    </row>
    <row r="11" spans="1:16">
      <c r="A11" s="1"/>
      <c r="B11" s="1" t="s">
        <v>2</v>
      </c>
      <c r="C11" s="1"/>
      <c r="D11" s="1"/>
      <c r="E11" s="1"/>
      <c r="F11" s="1"/>
      <c r="G11" s="1"/>
      <c r="H11" s="1"/>
      <c r="I11" s="1"/>
      <c r="M11" s="31" t="s">
        <v>46</v>
      </c>
      <c r="N11" s="31" t="s">
        <v>45</v>
      </c>
      <c r="O11" s="34">
        <f>O6-1</f>
        <v>47</v>
      </c>
      <c r="P11" t="s">
        <v>45</v>
      </c>
    </row>
    <row r="12" spans="1:16">
      <c r="A12" s="1"/>
      <c r="B12" s="1" t="s">
        <v>3</v>
      </c>
      <c r="C12" s="1"/>
      <c r="D12" s="1"/>
      <c r="E12" s="1"/>
      <c r="F12" s="1"/>
      <c r="G12" s="1"/>
      <c r="H12" s="1"/>
      <c r="I12" s="1"/>
      <c r="M12" s="2" t="s">
        <v>73</v>
      </c>
      <c r="N12" s="2" t="s">
        <v>10</v>
      </c>
      <c r="O12" s="32" t="str">
        <f>"mu"&amp;IF(O9="left"," &gt;= ",IF(O9="right"," &lt;= "," = "))&amp;O3</f>
        <v>mu = 60000</v>
      </c>
    </row>
    <row r="13" spans="1:16">
      <c r="A13" s="1"/>
      <c r="B13" s="1" t="s">
        <v>4</v>
      </c>
      <c r="C13" s="1"/>
      <c r="D13" s="1"/>
      <c r="E13" s="1"/>
      <c r="F13" s="1"/>
      <c r="G13" s="1"/>
      <c r="H13" s="1"/>
      <c r="I13" s="1"/>
      <c r="M13" s="2" t="s">
        <v>72</v>
      </c>
      <c r="N13" s="2" t="s">
        <v>11</v>
      </c>
      <c r="O13" s="32" t="str">
        <f>"mu"&amp;IF(O9="left"," &lt; ",IF(O9="right"," &gt; "," != "))&amp;O3</f>
        <v>mu != 60000</v>
      </c>
    </row>
    <row r="14" spans="1:16">
      <c r="A14" s="1"/>
      <c r="B14" s="1" t="s">
        <v>5</v>
      </c>
      <c r="C14" s="1"/>
      <c r="D14" s="1"/>
      <c r="E14" s="1"/>
      <c r="F14" s="1"/>
      <c r="G14" s="1"/>
      <c r="H14" s="1"/>
      <c r="I14" s="1"/>
    </row>
    <row r="15" spans="1:16">
      <c r="A15" s="1"/>
      <c r="B15" s="1"/>
      <c r="C15" s="1"/>
      <c r="D15" s="1"/>
      <c r="E15" s="1"/>
      <c r="F15" s="1"/>
      <c r="G15" s="1"/>
      <c r="H15" s="1"/>
      <c r="I15" s="1"/>
      <c r="K15" s="1" t="s">
        <v>67</v>
      </c>
    </row>
    <row r="16" spans="1:16">
      <c r="A16" s="1"/>
      <c r="B16" s="1"/>
      <c r="C16" s="1"/>
      <c r="D16" s="1"/>
      <c r="E16" s="1"/>
      <c r="F16" s="1"/>
      <c r="G16" s="1"/>
      <c r="H16" s="1"/>
      <c r="I16" s="1"/>
      <c r="K16" s="1">
        <v>2</v>
      </c>
      <c r="L16" s="1" t="s">
        <v>79</v>
      </c>
    </row>
    <row r="17" spans="1:16">
      <c r="A17" s="1"/>
      <c r="B17" s="1"/>
      <c r="C17" s="1"/>
      <c r="D17" s="1"/>
      <c r="E17" s="1"/>
      <c r="F17" s="1"/>
      <c r="G17" s="1"/>
      <c r="H17" s="1"/>
      <c r="I17" s="1"/>
      <c r="N17" s="2" t="s">
        <v>37</v>
      </c>
      <c r="O17" s="8">
        <f>0.5-(O10)</f>
        <v>0.44999999999999996</v>
      </c>
    </row>
    <row r="18" spans="1:16">
      <c r="A18" s="1"/>
      <c r="B18" s="1"/>
      <c r="C18" s="1"/>
      <c r="D18" s="1"/>
      <c r="E18" s="1"/>
      <c r="F18" s="1"/>
      <c r="G18" s="1"/>
      <c r="H18" s="1"/>
      <c r="I18" s="1"/>
      <c r="N18" s="2" t="s">
        <v>49</v>
      </c>
      <c r="O18" s="3">
        <v>1.645</v>
      </c>
    </row>
    <row r="19" spans="1:16">
      <c r="A19" s="1"/>
      <c r="B19" s="1"/>
      <c r="C19" s="1"/>
      <c r="D19" s="1"/>
      <c r="E19" s="1"/>
      <c r="F19" s="1"/>
      <c r="G19" s="1"/>
      <c r="H19" s="1"/>
      <c r="I19" s="1"/>
      <c r="N19" s="17" t="str">
        <f>"Rejection Region"&amp;IF(LOWER(O9)="both"," Low","")</f>
        <v>Rejection Region Low</v>
      </c>
      <c r="O19" s="17" t="str">
        <f>IF(O9="left"," &lt; "&amp;-1*O18,IF(O9="right"," &gt; "&amp;1*O18," &lt; "&amp;-1*O18))</f>
        <v xml:space="preserve"> &lt; -1.645</v>
      </c>
      <c r="P19" t="s">
        <v>78</v>
      </c>
    </row>
    <row r="20" spans="1:16">
      <c r="A20" s="1"/>
      <c r="B20" s="1"/>
      <c r="C20" s="1"/>
      <c r="D20" s="1"/>
      <c r="E20" s="1"/>
      <c r="F20" s="1"/>
      <c r="G20" s="1"/>
      <c r="H20" s="1"/>
      <c r="I20" s="1"/>
      <c r="N20" s="2" t="str">
        <f>IF(LOWER(O9)="both","Rejection Region High","")</f>
        <v>Rejection Region High</v>
      </c>
      <c r="O20" s="2" t="str">
        <f>IF(O9="both"," &gt; "&amp;1*O18,"")</f>
        <v xml:space="preserve"> &gt; 1.645</v>
      </c>
    </row>
    <row r="21" spans="1:16">
      <c r="A21" s="1"/>
      <c r="B21" s="1"/>
      <c r="C21" s="1"/>
      <c r="D21" s="1"/>
      <c r="E21" s="1"/>
      <c r="F21" s="1"/>
      <c r="G21" s="1"/>
      <c r="H21" s="1"/>
      <c r="I21" s="1"/>
    </row>
    <row r="22" spans="1:16">
      <c r="A22" s="1" t="s">
        <v>81</v>
      </c>
      <c r="K22" s="1">
        <v>3</v>
      </c>
      <c r="L22" s="1" t="s">
        <v>70</v>
      </c>
    </row>
    <row r="23" spans="1:16">
      <c r="B23" s="1" t="s">
        <v>1</v>
      </c>
      <c r="C23" s="35"/>
      <c r="L23" s="27" t="s">
        <v>24</v>
      </c>
    </row>
    <row r="24" spans="1:16">
      <c r="B24" t="str">
        <f>N12</f>
        <v>H0</v>
      </c>
      <c r="C24" s="35" t="str">
        <f>O12</f>
        <v>mu = 60000</v>
      </c>
      <c r="L24" s="1" t="str">
        <f>"Reject the null hypothesis "&amp;"if "&amp;N25&amp;O19&amp;IF(O9="both"," or "&amp;N25&amp;" is "&amp;O20,"")</f>
        <v>Reject the null hypothesis if z &lt; -1.645 or z is  &gt; 1.645</v>
      </c>
      <c r="O24" s="1"/>
    </row>
    <row r="25" spans="1:16">
      <c r="B25" t="str">
        <f>N13</f>
        <v>H1</v>
      </c>
      <c r="C25" s="35" t="str">
        <f>O13</f>
        <v>mu != 60000</v>
      </c>
      <c r="M25" s="2" t="s">
        <v>21</v>
      </c>
      <c r="N25" s="6" t="str">
        <f>IF(O4&lt;&gt;"","z","t")</f>
        <v>z</v>
      </c>
      <c r="O25" s="8">
        <f>(O5-O3)/(IF(O4&lt;&gt;"",O4,O7)/SQRT(O6))</f>
        <v>-0.69282032302755092</v>
      </c>
    </row>
    <row r="26" spans="1:16">
      <c r="M26" s="2" t="str">
        <f>ROUND(O25,4)&amp;O19</f>
        <v>-0.6928 &lt; -1.645</v>
      </c>
      <c r="N26" s="2"/>
      <c r="O26" s="5" t="b">
        <v>0</v>
      </c>
    </row>
    <row r="27" spans="1:16">
      <c r="B27" s="1" t="s">
        <v>2</v>
      </c>
      <c r="M27" s="2" t="str">
        <f>IF(O9&lt;&gt;"both","",ROUND(O25,4)&amp;O20)</f>
        <v>-0.6928 &gt; 1.645</v>
      </c>
      <c r="N27" s="2"/>
      <c r="O27" s="5" t="b">
        <v>0</v>
      </c>
    </row>
    <row r="28" spans="1:16">
      <c r="B28" t="str">
        <f>L24</f>
        <v>Reject the null hypothesis if z &lt; -1.645 or z is  &gt; 1.645</v>
      </c>
      <c r="L28" s="17"/>
      <c r="M28" s="17"/>
      <c r="N28" s="17"/>
    </row>
    <row r="29" spans="1:16">
      <c r="K29" s="1">
        <v>4</v>
      </c>
      <c r="L29" s="1" t="s">
        <v>84</v>
      </c>
    </row>
    <row r="30" spans="1:16">
      <c r="B30" s="1" t="s">
        <v>3</v>
      </c>
      <c r="N30" s="2" t="s">
        <v>26</v>
      </c>
      <c r="O30" s="24">
        <f>IF(O4&lt;&gt;"",ABS(ROUND(O25,2)),"")</f>
        <v>0.69</v>
      </c>
    </row>
    <row r="31" spans="1:16">
      <c r="B31" s="20">
        <f>O25</f>
        <v>-0.69282032302755092</v>
      </c>
      <c r="N31" s="2" t="s">
        <v>38</v>
      </c>
      <c r="O31" s="41">
        <f>_xlfn.NORM.S.DIST(O30,TRUE)-0.5</f>
        <v>0.25490290632569057</v>
      </c>
      <c r="P31" t="s">
        <v>85</v>
      </c>
    </row>
    <row r="32" spans="1:16">
      <c r="M32" s="17"/>
      <c r="N32" s="17" t="s">
        <v>25</v>
      </c>
      <c r="O32" s="18">
        <f>IF(O4&lt;&gt;"",IF(O9="both",2,1)*(0.5-O31),"")</f>
        <v>0.49019418734861886</v>
      </c>
    </row>
    <row r="33" spans="1:16">
      <c r="B33" s="1" t="s">
        <v>4</v>
      </c>
      <c r="L33" t="str">
        <f>"If H0 is true, the probability of finding a sample mean this extreme is "&amp;ROUND(O32,4)</f>
        <v>If H0 is true, the probability of finding a sample mean this extreme is 0.4902</v>
      </c>
    </row>
    <row r="34" spans="1:16">
      <c r="B34" t="str">
        <f>M36</f>
        <v>Fail to reject H0 (mu = 60000)</v>
      </c>
    </row>
    <row r="35" spans="1:16">
      <c r="B35" t="str">
        <f>M37</f>
        <v>Crosset's experience is not different from that claimed by the manufacturer at the .05 significance level</v>
      </c>
      <c r="K35" s="1">
        <v>5</v>
      </c>
      <c r="L35" s="1" t="s">
        <v>69</v>
      </c>
    </row>
    <row r="36" spans="1:16">
      <c r="M36" s="34" t="str">
        <f>IFERROR(IF(OR(O26,O27),"Reject H0 ("&amp;O12&amp;")","Fail to reject H0 ("&amp;O12&amp;")"),"")</f>
        <v>Fail to reject H0 (mu = 60000)</v>
      </c>
    </row>
    <row r="37" spans="1:16">
      <c r="B37" s="1" t="s">
        <v>5</v>
      </c>
      <c r="M37" t="s">
        <v>87</v>
      </c>
    </row>
    <row r="38" spans="1:16">
      <c r="B38" s="20">
        <f>O32</f>
        <v>0.49019418734861886</v>
      </c>
      <c r="C38" t="str">
        <f>L33</f>
        <v>If H0 is true, the probability of finding a sample mean this extreme is 0.4902</v>
      </c>
    </row>
    <row r="41" spans="1:16">
      <c r="A41" s="1" t="s">
        <v>80</v>
      </c>
      <c r="K41" s="1" t="str">
        <f>"Hypothesis Test with "&amp;IF(O44&lt;&gt;"","a ","an un")&amp;"known sigma"</f>
        <v>Hypothesis Test with a known sigma</v>
      </c>
    </row>
    <row r="42" spans="1:16" ht="12" customHeight="1">
      <c r="A42" s="1" t="s">
        <v>27</v>
      </c>
      <c r="B42" s="128" t="s">
        <v>28</v>
      </c>
      <c r="C42" s="128"/>
      <c r="D42" s="128"/>
      <c r="E42" s="128"/>
      <c r="F42" s="128"/>
      <c r="G42" s="128"/>
      <c r="H42" s="128"/>
      <c r="I42" s="128"/>
      <c r="K42" s="1">
        <v>1</v>
      </c>
      <c r="L42" s="1" t="s">
        <v>71</v>
      </c>
    </row>
    <row r="43" spans="1:16">
      <c r="A43" s="1"/>
      <c r="B43" s="128"/>
      <c r="C43" s="128"/>
      <c r="D43" s="128"/>
      <c r="E43" s="128"/>
      <c r="F43" s="128"/>
      <c r="G43" s="128"/>
      <c r="H43" s="128"/>
      <c r="I43" s="128"/>
      <c r="M43" s="2" t="s">
        <v>18</v>
      </c>
      <c r="N43" s="2" t="s">
        <v>12</v>
      </c>
      <c r="O43" s="38">
        <v>6.8</v>
      </c>
      <c r="P43" t="s">
        <v>57</v>
      </c>
    </row>
    <row r="44" spans="1:16">
      <c r="A44" s="1"/>
      <c r="B44" s="128"/>
      <c r="C44" s="128"/>
      <c r="D44" s="128"/>
      <c r="E44" s="128"/>
      <c r="F44" s="128"/>
      <c r="G44" s="128"/>
      <c r="H44" s="128"/>
      <c r="I44" s="128"/>
      <c r="M44" s="2" t="s">
        <v>19</v>
      </c>
      <c r="N44" s="2" t="s">
        <v>13</v>
      </c>
      <c r="O44" s="38">
        <v>1.8</v>
      </c>
    </row>
    <row r="45" spans="1:16">
      <c r="A45" s="1"/>
      <c r="B45" s="128"/>
      <c r="C45" s="128"/>
      <c r="D45" s="128"/>
      <c r="E45" s="128"/>
      <c r="F45" s="128"/>
      <c r="G45" s="128"/>
      <c r="H45" s="128"/>
      <c r="I45" s="128"/>
      <c r="M45" s="2" t="s">
        <v>20</v>
      </c>
      <c r="N45" s="2" t="s">
        <v>14</v>
      </c>
      <c r="O45" s="38">
        <v>6.2</v>
      </c>
      <c r="P45" t="s">
        <v>54</v>
      </c>
    </row>
    <row r="46" spans="1:16">
      <c r="A46" s="1"/>
      <c r="B46" s="128"/>
      <c r="C46" s="128"/>
      <c r="D46" s="128"/>
      <c r="E46" s="128"/>
      <c r="F46" s="128"/>
      <c r="G46" s="128"/>
      <c r="H46" s="128"/>
      <c r="I46" s="128"/>
      <c r="M46" s="2" t="s">
        <v>22</v>
      </c>
      <c r="N46" s="2" t="s">
        <v>15</v>
      </c>
      <c r="O46" s="38">
        <v>36</v>
      </c>
      <c r="P46" t="s">
        <v>56</v>
      </c>
    </row>
    <row r="47" spans="1:16">
      <c r="A47" s="1"/>
      <c r="B47" s="128"/>
      <c r="C47" s="128"/>
      <c r="D47" s="128"/>
      <c r="E47" s="128"/>
      <c r="F47" s="128"/>
      <c r="G47" s="128"/>
      <c r="H47" s="128"/>
      <c r="I47" s="128"/>
      <c r="M47" s="2" t="s">
        <v>42</v>
      </c>
      <c r="N47" s="2" t="s">
        <v>43</v>
      </c>
      <c r="O47" s="39"/>
    </row>
    <row r="48" spans="1:16">
      <c r="A48" s="1"/>
      <c r="B48" s="128"/>
      <c r="C48" s="128"/>
      <c r="D48" s="128"/>
      <c r="E48" s="128"/>
      <c r="F48" s="128"/>
      <c r="G48" s="128"/>
      <c r="H48" s="128"/>
      <c r="I48" s="128"/>
      <c r="M48" s="2" t="s">
        <v>23</v>
      </c>
      <c r="O48" s="38">
        <v>0.95</v>
      </c>
    </row>
    <row r="49" spans="1:16">
      <c r="A49" s="1"/>
      <c r="B49" s="128"/>
      <c r="C49" s="128"/>
      <c r="D49" s="128"/>
      <c r="E49" s="128"/>
      <c r="F49" s="128"/>
      <c r="G49" s="128"/>
      <c r="H49" s="128"/>
      <c r="I49" s="128"/>
      <c r="M49" s="2" t="s">
        <v>88</v>
      </c>
      <c r="O49" s="38" t="s">
        <v>36</v>
      </c>
    </row>
    <row r="50" spans="1:16">
      <c r="A50" s="1"/>
      <c r="B50" s="1" t="s">
        <v>1</v>
      </c>
      <c r="C50" s="1"/>
      <c r="D50" s="1"/>
      <c r="E50" s="1"/>
      <c r="F50" s="1"/>
      <c r="G50" s="1"/>
      <c r="H50" s="1"/>
      <c r="I50" s="1"/>
      <c r="M50" s="31" t="s">
        <v>16</v>
      </c>
      <c r="N50" s="31" t="s">
        <v>63</v>
      </c>
      <c r="O50" s="40">
        <f>1-O48</f>
        <v>5.0000000000000044E-2</v>
      </c>
      <c r="P50" t="s">
        <v>66</v>
      </c>
    </row>
    <row r="51" spans="1:16">
      <c r="A51" s="1"/>
      <c r="B51" s="1" t="s">
        <v>2</v>
      </c>
      <c r="C51" s="1"/>
      <c r="D51" s="1"/>
      <c r="E51" s="1"/>
      <c r="F51" s="1"/>
      <c r="G51" s="1"/>
      <c r="H51" s="1"/>
      <c r="I51" s="1"/>
      <c r="M51" s="31" t="s">
        <v>46</v>
      </c>
      <c r="N51" s="31" t="s">
        <v>45</v>
      </c>
      <c r="O51" s="34">
        <f>O46-1</f>
        <v>35</v>
      </c>
      <c r="P51" t="s">
        <v>45</v>
      </c>
    </row>
    <row r="52" spans="1:16">
      <c r="A52" s="1"/>
      <c r="B52" s="1" t="s">
        <v>3</v>
      </c>
      <c r="C52" s="1"/>
      <c r="D52" s="1"/>
      <c r="E52" s="1"/>
      <c r="F52" s="1"/>
      <c r="G52" s="1"/>
      <c r="H52" s="1"/>
      <c r="I52" s="1"/>
      <c r="M52" s="2" t="s">
        <v>73</v>
      </c>
      <c r="N52" s="2" t="s">
        <v>10</v>
      </c>
      <c r="O52" s="32" t="str">
        <f>"mu"&amp;IF(O49="left"," &gt;= ",IF(O49="right"," &lt;= "," = "))&amp;O43</f>
        <v>mu &gt;= 6.8</v>
      </c>
    </row>
    <row r="53" spans="1:16">
      <c r="A53" s="1"/>
      <c r="B53" s="1" t="s">
        <v>4</v>
      </c>
      <c r="C53" s="1"/>
      <c r="D53" s="1"/>
      <c r="E53" s="1"/>
      <c r="F53" s="1"/>
      <c r="G53" s="1"/>
      <c r="H53" s="1"/>
      <c r="I53" s="1"/>
      <c r="M53" s="2" t="s">
        <v>72</v>
      </c>
      <c r="N53" s="2" t="s">
        <v>11</v>
      </c>
      <c r="O53" s="32" t="str">
        <f>"mu"&amp;IF(O49="left"," &lt; ",IF(O49="right"," &gt; "," != "))&amp;O43</f>
        <v>mu &lt; 6.8</v>
      </c>
    </row>
    <row r="54" spans="1:16">
      <c r="A54" s="1"/>
      <c r="B54" s="1" t="s">
        <v>5</v>
      </c>
      <c r="C54" s="1"/>
      <c r="D54" s="1"/>
      <c r="E54" s="1"/>
      <c r="F54" s="1"/>
      <c r="G54" s="1"/>
      <c r="H54" s="1"/>
      <c r="I54" s="1"/>
    </row>
    <row r="55" spans="1:16">
      <c r="A55" s="1"/>
      <c r="B55" s="1"/>
      <c r="C55" s="1"/>
      <c r="D55" s="1"/>
      <c r="E55" s="1"/>
      <c r="F55" s="1"/>
      <c r="G55" s="1"/>
      <c r="H55" s="1"/>
      <c r="I55" s="1"/>
      <c r="K55" s="1" t="s">
        <v>67</v>
      </c>
    </row>
    <row r="56" spans="1:16">
      <c r="A56" s="1"/>
      <c r="B56" s="1"/>
      <c r="C56" s="1"/>
      <c r="D56" s="1"/>
      <c r="E56" s="1"/>
      <c r="F56" s="1"/>
      <c r="G56" s="1"/>
      <c r="H56" s="1"/>
      <c r="I56" s="1"/>
      <c r="K56" s="1">
        <v>2</v>
      </c>
      <c r="L56" s="1" t="s">
        <v>79</v>
      </c>
    </row>
    <row r="57" spans="1:16">
      <c r="A57" s="1"/>
      <c r="B57" s="1"/>
      <c r="C57" s="1"/>
      <c r="D57" s="1"/>
      <c r="E57" s="1"/>
      <c r="F57" s="1"/>
      <c r="G57" s="1"/>
      <c r="H57" s="1"/>
      <c r="I57" s="1"/>
      <c r="N57" s="2" t="s">
        <v>37</v>
      </c>
      <c r="O57" s="8">
        <f>0.5-(O50)</f>
        <v>0.44999999999999996</v>
      </c>
    </row>
    <row r="58" spans="1:16">
      <c r="A58" s="1"/>
      <c r="B58" s="1"/>
      <c r="C58" s="1"/>
      <c r="D58" s="1"/>
      <c r="E58" s="1"/>
      <c r="F58" s="1"/>
      <c r="G58" s="1"/>
      <c r="H58" s="1"/>
      <c r="I58" s="1"/>
      <c r="N58" s="2" t="s">
        <v>49</v>
      </c>
      <c r="O58" s="3">
        <v>1.645</v>
      </c>
    </row>
    <row r="59" spans="1:16">
      <c r="A59" s="1"/>
      <c r="B59" s="1"/>
      <c r="C59" s="1"/>
      <c r="D59" s="1"/>
      <c r="E59" s="1"/>
      <c r="F59" s="1"/>
      <c r="G59" s="1"/>
      <c r="H59" s="1"/>
      <c r="I59" s="1"/>
      <c r="N59" s="17" t="str">
        <f>"Rejection Region"&amp;IF(LOWER(O49)="both"," Low","")</f>
        <v>Rejection Region</v>
      </c>
      <c r="O59" s="17" t="str">
        <f>IF(O49="left"," &lt; "&amp;-1*O58,IF(O49="right"," &gt; "&amp;1*O58," &lt; "&amp;-1*O58))</f>
        <v xml:space="preserve"> &lt; -1.645</v>
      </c>
      <c r="P59" t="s">
        <v>78</v>
      </c>
    </row>
    <row r="60" spans="1:16">
      <c r="A60" s="1"/>
      <c r="B60" s="1"/>
      <c r="C60" s="1"/>
      <c r="D60" s="1"/>
      <c r="E60" s="1"/>
      <c r="F60" s="1"/>
      <c r="G60" s="1"/>
      <c r="H60" s="1"/>
      <c r="I60" s="1"/>
      <c r="N60" s="2" t="str">
        <f>IF(LOWER(O49)="both","Rejection Region High","")</f>
        <v/>
      </c>
      <c r="O60" s="2" t="str">
        <f>IF(O49="both"," &gt; "&amp;1*O58,"")</f>
        <v/>
      </c>
    </row>
    <row r="61" spans="1:16">
      <c r="A61" s="1"/>
      <c r="B61" s="1"/>
      <c r="C61" s="1"/>
      <c r="D61" s="1"/>
      <c r="E61" s="1"/>
      <c r="F61" s="1"/>
      <c r="G61" s="1"/>
      <c r="H61" s="1"/>
      <c r="I61" s="1"/>
    </row>
    <row r="62" spans="1:16">
      <c r="A62" s="1" t="s">
        <v>81</v>
      </c>
      <c r="K62" s="1">
        <v>3</v>
      </c>
      <c r="L62" s="1" t="s">
        <v>70</v>
      </c>
    </row>
    <row r="63" spans="1:16">
      <c r="B63" s="1" t="s">
        <v>1</v>
      </c>
      <c r="C63" s="35"/>
      <c r="L63" s="27" t="s">
        <v>24</v>
      </c>
    </row>
    <row r="64" spans="1:16">
      <c r="B64" t="str">
        <f>N52</f>
        <v>H0</v>
      </c>
      <c r="C64" s="35" t="str">
        <f>O52</f>
        <v>mu &gt;= 6.8</v>
      </c>
      <c r="L64" s="1" t="str">
        <f>"Reject the null hypothesis "&amp;"if "&amp;N65&amp;O59&amp;IF(O49="both"," or "&amp;N65&amp;" is "&amp;O60,"")</f>
        <v>Reject the null hypothesis if z &lt; -1.645</v>
      </c>
      <c r="O64" s="1"/>
    </row>
    <row r="65" spans="2:16">
      <c r="B65" t="str">
        <f>N53</f>
        <v>H1</v>
      </c>
      <c r="C65" s="35" t="str">
        <f>O53</f>
        <v>mu &lt; 6.8</v>
      </c>
      <c r="M65" s="2" t="s">
        <v>21</v>
      </c>
      <c r="N65" s="6" t="str">
        <f>IF(O44&lt;&gt;"","z","t")</f>
        <v>z</v>
      </c>
      <c r="O65" s="8">
        <f>(O45-O43)/(IF(O44&lt;&gt;"",O44,O47)/SQRT(O46))</f>
        <v>-1.9999999999999989</v>
      </c>
    </row>
    <row r="66" spans="2:16">
      <c r="M66" s="2" t="str">
        <f>ROUND(O65,4)&amp;O59</f>
        <v>-2 &lt; -1.645</v>
      </c>
      <c r="N66" s="2"/>
      <c r="O66" s="5" t="b">
        <v>1</v>
      </c>
    </row>
    <row r="67" spans="2:16">
      <c r="B67" s="1" t="s">
        <v>2</v>
      </c>
      <c r="M67" s="2" t="str">
        <f>IF(O49&lt;&gt;"both","",ROUND(O65,4)&amp;O60)</f>
        <v/>
      </c>
      <c r="N67" s="2"/>
      <c r="O67" s="5"/>
    </row>
    <row r="68" spans="2:16">
      <c r="B68" t="str">
        <f>L64</f>
        <v>Reject the null hypothesis if z &lt; -1.645</v>
      </c>
      <c r="L68" s="17"/>
      <c r="M68" s="17"/>
      <c r="N68" s="17"/>
    </row>
    <row r="69" spans="2:16">
      <c r="K69" s="1">
        <v>4</v>
      </c>
      <c r="L69" s="1" t="s">
        <v>84</v>
      </c>
    </row>
    <row r="70" spans="2:16">
      <c r="B70" s="1" t="s">
        <v>3</v>
      </c>
      <c r="N70" s="2" t="s">
        <v>26</v>
      </c>
      <c r="O70" s="24">
        <f>IF(O44&lt;&gt;"",ABS(ROUND(O65,2)),"")</f>
        <v>2</v>
      </c>
    </row>
    <row r="71" spans="2:16">
      <c r="B71" s="20">
        <f>O65</f>
        <v>-1.9999999999999989</v>
      </c>
      <c r="N71" s="2" t="s">
        <v>38</v>
      </c>
      <c r="O71" s="41">
        <f>_xlfn.NORM.S.DIST(O70,TRUE)-0.5</f>
        <v>0.47724986805182079</v>
      </c>
      <c r="P71" t="s">
        <v>85</v>
      </c>
    </row>
    <row r="72" spans="2:16">
      <c r="M72" s="17"/>
      <c r="N72" s="17" t="s">
        <v>25</v>
      </c>
      <c r="O72" s="18">
        <f>IF(O44&lt;&gt;"",IF(O49="both",2,1)*(0.5-O71),"")</f>
        <v>2.2750131948179209E-2</v>
      </c>
    </row>
    <row r="73" spans="2:16">
      <c r="B73" s="1" t="s">
        <v>4</v>
      </c>
      <c r="L73" t="str">
        <f>"If H0 is true, the probability of finding a sample mean this extreme is "&amp;ROUND(O72,4)</f>
        <v>If H0 is true, the probability of finding a sample mean this extreme is 0.0228</v>
      </c>
    </row>
    <row r="74" spans="2:16">
      <c r="B74" t="str">
        <f>M76</f>
        <v>Reject H0 (mu &gt;= 6.8)</v>
      </c>
    </row>
    <row r="75" spans="2:16">
      <c r="B75" t="str">
        <f>M77</f>
        <v>We can conclude that college students watch fewer movies a month than high school students</v>
      </c>
      <c r="K75" s="1">
        <v>5</v>
      </c>
      <c r="L75" s="1" t="s">
        <v>69</v>
      </c>
    </row>
    <row r="76" spans="2:16">
      <c r="M76" s="34" t="str">
        <f>IFERROR(IF(OR(O66,O67),"Reject H0 ("&amp;O52&amp;")","Fail to reject H0 ("&amp;O52&amp;")"),"")</f>
        <v>Reject H0 (mu &gt;= 6.8)</v>
      </c>
    </row>
    <row r="77" spans="2:16">
      <c r="B77" s="1" t="s">
        <v>5</v>
      </c>
      <c r="M77" t="s">
        <v>90</v>
      </c>
    </row>
    <row r="78" spans="2:16">
      <c r="B78" s="20">
        <f>O72</f>
        <v>2.2750131948179209E-2</v>
      </c>
      <c r="C78" t="str">
        <f>L73</f>
        <v>If H0 is true, the probability of finding a sample mean this extreme is 0.0228</v>
      </c>
    </row>
    <row r="82" spans="1:16">
      <c r="A82" s="1" t="s">
        <v>80</v>
      </c>
      <c r="K82" s="1" t="str">
        <f>"Hypothesis Test with "&amp;IF(O85&lt;&gt;"","a ","an un")&amp;"known sigma"</f>
        <v>Hypothesis Test with a known sigma</v>
      </c>
    </row>
    <row r="83" spans="1:16" ht="12" customHeight="1">
      <c r="A83" s="1" t="s">
        <v>114</v>
      </c>
      <c r="B83" s="128" t="s">
        <v>113</v>
      </c>
      <c r="C83" s="128"/>
      <c r="D83" s="128"/>
      <c r="E83" s="128"/>
      <c r="F83" s="128"/>
      <c r="G83" s="128"/>
      <c r="H83" s="128"/>
      <c r="I83" s="128"/>
      <c r="K83" s="1">
        <v>1</v>
      </c>
      <c r="L83" s="1" t="s">
        <v>71</v>
      </c>
    </row>
    <row r="84" spans="1:16">
      <c r="A84" s="1"/>
      <c r="B84" s="128"/>
      <c r="C84" s="128"/>
      <c r="D84" s="128"/>
      <c r="E84" s="128"/>
      <c r="F84" s="128"/>
      <c r="G84" s="128"/>
      <c r="H84" s="128"/>
      <c r="I84" s="128"/>
      <c r="M84" s="2" t="s">
        <v>18</v>
      </c>
      <c r="N84" s="2" t="s">
        <v>12</v>
      </c>
      <c r="O84" s="38">
        <v>45000</v>
      </c>
      <c r="P84" t="s">
        <v>57</v>
      </c>
    </row>
    <row r="85" spans="1:16">
      <c r="A85" s="1"/>
      <c r="B85" s="128"/>
      <c r="C85" s="128"/>
      <c r="D85" s="128"/>
      <c r="E85" s="128"/>
      <c r="F85" s="128"/>
      <c r="G85" s="128"/>
      <c r="H85" s="128"/>
      <c r="I85" s="128"/>
      <c r="M85" s="2" t="s">
        <v>19</v>
      </c>
      <c r="N85" s="2" t="s">
        <v>13</v>
      </c>
      <c r="O85" s="38">
        <v>3000</v>
      </c>
    </row>
    <row r="86" spans="1:16">
      <c r="A86" s="1"/>
      <c r="B86" s="128"/>
      <c r="C86" s="128"/>
      <c r="D86" s="128"/>
      <c r="E86" s="128"/>
      <c r="F86" s="128"/>
      <c r="G86" s="128"/>
      <c r="H86" s="128"/>
      <c r="I86" s="128"/>
      <c r="M86" s="2" t="s">
        <v>20</v>
      </c>
      <c r="N86" s="2" t="s">
        <v>14</v>
      </c>
      <c r="O86" s="38">
        <v>45500</v>
      </c>
      <c r="P86" t="s">
        <v>54</v>
      </c>
    </row>
    <row r="87" spans="1:16">
      <c r="A87" s="1"/>
      <c r="B87" s="128"/>
      <c r="C87" s="128"/>
      <c r="D87" s="128"/>
      <c r="E87" s="128"/>
      <c r="F87" s="128"/>
      <c r="G87" s="128"/>
      <c r="H87" s="128"/>
      <c r="I87" s="128"/>
      <c r="M87" s="2" t="s">
        <v>22</v>
      </c>
      <c r="N87" s="2" t="s">
        <v>15</v>
      </c>
      <c r="O87" s="38">
        <v>120</v>
      </c>
      <c r="P87" t="s">
        <v>56</v>
      </c>
    </row>
    <row r="88" spans="1:16">
      <c r="A88" s="1"/>
      <c r="B88" s="128"/>
      <c r="C88" s="128"/>
      <c r="D88" s="128"/>
      <c r="E88" s="128"/>
      <c r="F88" s="128"/>
      <c r="G88" s="128"/>
      <c r="H88" s="128"/>
      <c r="I88" s="128"/>
      <c r="M88" s="2" t="s">
        <v>42</v>
      </c>
      <c r="N88" s="2" t="s">
        <v>43</v>
      </c>
      <c r="O88" s="39"/>
    </row>
    <row r="89" spans="1:16">
      <c r="A89" s="1"/>
      <c r="B89" s="128"/>
      <c r="C89" s="128"/>
      <c r="D89" s="128"/>
      <c r="E89" s="128"/>
      <c r="F89" s="128"/>
      <c r="G89" s="128"/>
      <c r="H89" s="128"/>
      <c r="I89" s="128"/>
      <c r="M89" s="2" t="s">
        <v>23</v>
      </c>
      <c r="O89" s="38">
        <v>0.9</v>
      </c>
    </row>
    <row r="90" spans="1:16">
      <c r="A90" s="1"/>
      <c r="B90" s="128"/>
      <c r="C90" s="128"/>
      <c r="D90" s="128"/>
      <c r="E90" s="128"/>
      <c r="F90" s="128"/>
      <c r="G90" s="128"/>
      <c r="H90" s="128"/>
      <c r="I90" s="128"/>
      <c r="M90" s="2" t="s">
        <v>88</v>
      </c>
      <c r="O90" s="38" t="s">
        <v>39</v>
      </c>
    </row>
    <row r="91" spans="1:16">
      <c r="A91" s="1"/>
      <c r="B91" s="1" t="s">
        <v>1</v>
      </c>
      <c r="C91" s="1"/>
      <c r="D91" s="1"/>
      <c r="E91" s="1"/>
      <c r="F91" s="1"/>
      <c r="G91" s="1"/>
      <c r="H91" s="1"/>
      <c r="I91" s="1"/>
      <c r="M91" s="31" t="s">
        <v>16</v>
      </c>
      <c r="N91" s="31" t="s">
        <v>63</v>
      </c>
      <c r="O91" s="40">
        <f>1-O89</f>
        <v>9.9999999999999978E-2</v>
      </c>
      <c r="P91" t="s">
        <v>66</v>
      </c>
    </row>
    <row r="92" spans="1:16">
      <c r="A92" s="1"/>
      <c r="B92" s="1" t="s">
        <v>2</v>
      </c>
      <c r="C92" s="1"/>
      <c r="D92" s="1"/>
      <c r="E92" s="1"/>
      <c r="F92" s="1"/>
      <c r="G92" s="1"/>
      <c r="H92" s="1"/>
      <c r="I92" s="1"/>
      <c r="M92" s="31" t="s">
        <v>46</v>
      </c>
      <c r="N92" s="31" t="s">
        <v>45</v>
      </c>
      <c r="O92" s="34">
        <f>O87-1</f>
        <v>119</v>
      </c>
      <c r="P92" t="s">
        <v>45</v>
      </c>
    </row>
    <row r="93" spans="1:16">
      <c r="A93" s="1"/>
      <c r="B93" s="1" t="s">
        <v>3</v>
      </c>
      <c r="C93" s="1"/>
      <c r="D93" s="1"/>
      <c r="E93" s="1"/>
      <c r="F93" s="1"/>
      <c r="G93" s="1"/>
      <c r="H93" s="1"/>
      <c r="I93" s="1"/>
      <c r="M93" s="2" t="s">
        <v>73</v>
      </c>
      <c r="N93" s="2" t="s">
        <v>10</v>
      </c>
      <c r="O93" s="32" t="str">
        <f>"mu"&amp;IF(O90="left"," &gt;= ",IF(O90="right"," &lt;= "," = "))&amp;O84</f>
        <v>mu = 45000</v>
      </c>
    </row>
    <row r="94" spans="1:16">
      <c r="A94" s="1"/>
      <c r="B94" s="1" t="s">
        <v>4</v>
      </c>
      <c r="C94" s="1"/>
      <c r="D94" s="1"/>
      <c r="E94" s="1"/>
      <c r="F94" s="1"/>
      <c r="G94" s="1"/>
      <c r="H94" s="1"/>
      <c r="I94" s="1"/>
      <c r="M94" s="2" t="s">
        <v>72</v>
      </c>
      <c r="N94" s="2" t="s">
        <v>11</v>
      </c>
      <c r="O94" s="32" t="str">
        <f>"mu"&amp;IF(O90="left"," &lt; ",IF(O90="right"," &gt; "," != "))&amp;O84</f>
        <v>mu != 45000</v>
      </c>
    </row>
    <row r="95" spans="1:16">
      <c r="A95" s="1"/>
      <c r="B95" s="1" t="s">
        <v>5</v>
      </c>
      <c r="C95" s="1"/>
      <c r="D95" s="1"/>
      <c r="E95" s="1"/>
      <c r="F95" s="1"/>
      <c r="G95" s="1"/>
      <c r="H95" s="1"/>
      <c r="I95" s="1"/>
    </row>
    <row r="96" spans="1:16">
      <c r="A96" s="1"/>
      <c r="B96" s="1"/>
      <c r="C96" s="1"/>
      <c r="D96" s="1"/>
      <c r="E96" s="1"/>
      <c r="F96" s="1"/>
      <c r="G96" s="1"/>
      <c r="H96" s="1"/>
      <c r="I96" s="1"/>
      <c r="K96" s="1" t="s">
        <v>67</v>
      </c>
    </row>
    <row r="97" spans="1:16">
      <c r="A97" s="1"/>
      <c r="B97" s="1"/>
      <c r="C97" s="1"/>
      <c r="D97" s="1"/>
      <c r="E97" s="1"/>
      <c r="F97" s="1"/>
      <c r="G97" s="1"/>
      <c r="H97" s="1"/>
      <c r="I97" s="1"/>
      <c r="K97" s="1">
        <v>2</v>
      </c>
      <c r="L97" s="1" t="s">
        <v>79</v>
      </c>
    </row>
    <row r="98" spans="1:16">
      <c r="A98" s="1"/>
      <c r="B98" s="1"/>
      <c r="C98" s="1"/>
      <c r="D98" s="1"/>
      <c r="E98" s="1"/>
      <c r="F98" s="1"/>
      <c r="G98" s="1"/>
      <c r="H98" s="1"/>
      <c r="I98" s="1"/>
      <c r="N98" s="2" t="s">
        <v>37</v>
      </c>
      <c r="O98" s="8">
        <f>0.5-(O91)</f>
        <v>0.4</v>
      </c>
    </row>
    <row r="99" spans="1:16">
      <c r="A99" s="1"/>
      <c r="B99" s="1"/>
      <c r="C99" s="1"/>
      <c r="D99" s="1"/>
      <c r="E99" s="1"/>
      <c r="F99" s="1"/>
      <c r="G99" s="1"/>
      <c r="H99" s="1"/>
      <c r="I99" s="1"/>
      <c r="N99" s="2" t="s">
        <v>49</v>
      </c>
      <c r="O99" s="3">
        <v>1.2849999999999999</v>
      </c>
      <c r="P99" t="s">
        <v>78</v>
      </c>
    </row>
    <row r="100" spans="1:16">
      <c r="A100" s="1"/>
      <c r="B100" s="1"/>
      <c r="C100" s="1"/>
      <c r="D100" s="1"/>
      <c r="E100" s="1"/>
      <c r="F100" s="1"/>
      <c r="G100" s="1"/>
      <c r="H100" s="1"/>
      <c r="I100" s="1"/>
      <c r="M100" s="9"/>
      <c r="N100" s="31" t="str">
        <f>"Rejection Region"&amp;IF(LOWER(O90)="both"," Low","")</f>
        <v>Rejection Region Low</v>
      </c>
      <c r="O100" s="31" t="str">
        <f>IF(O90="left"," &lt; "&amp;-1*O99,IF(O90="right"," &gt; "&amp;1*O99," &lt; "&amp;-1*O99))</f>
        <v xml:space="preserve"> &lt; -1.285</v>
      </c>
    </row>
    <row r="101" spans="1:16">
      <c r="A101" s="1"/>
      <c r="B101" s="1"/>
      <c r="C101" s="1"/>
      <c r="D101" s="1"/>
      <c r="E101" s="1"/>
      <c r="F101" s="1"/>
      <c r="G101" s="1"/>
      <c r="H101" s="1"/>
      <c r="I101" s="1"/>
      <c r="N101" s="2" t="str">
        <f>IF(LOWER(O90)="both","Rejection Region High","")</f>
        <v>Rejection Region High</v>
      </c>
      <c r="O101" s="2" t="str">
        <f>IF(O90="both"," &gt; "&amp;1*O99,"")</f>
        <v xml:space="preserve"> &gt; 1.285</v>
      </c>
    </row>
    <row r="102" spans="1:16">
      <c r="A102" s="1"/>
      <c r="B102" s="1"/>
      <c r="C102" s="1"/>
      <c r="D102" s="1"/>
      <c r="E102" s="1"/>
      <c r="F102" s="1"/>
      <c r="G102" s="1"/>
      <c r="H102" s="1"/>
      <c r="I102" s="1"/>
    </row>
    <row r="103" spans="1:16">
      <c r="A103" s="1" t="s">
        <v>81</v>
      </c>
      <c r="K103" s="1">
        <v>3</v>
      </c>
      <c r="L103" s="1" t="s">
        <v>107</v>
      </c>
    </row>
    <row r="104" spans="1:16">
      <c r="B104" s="1" t="s">
        <v>1</v>
      </c>
      <c r="C104" s="35"/>
      <c r="L104" s="1" t="str">
        <f>"Reject the null hypothesis "&amp;"if "&amp;N105&amp;O100&amp;IF(O90="both"," or "&amp;N105&amp;" is "&amp;O101,"")</f>
        <v>Reject the null hypothesis if z &lt; -1.285 or z is  &gt; 1.285</v>
      </c>
      <c r="O104" s="1"/>
    </row>
    <row r="105" spans="1:16">
      <c r="B105" t="str">
        <f>N93</f>
        <v>H0</v>
      </c>
      <c r="C105" s="35" t="str">
        <f>O93</f>
        <v>mu = 45000</v>
      </c>
      <c r="M105" s="2" t="s">
        <v>21</v>
      </c>
      <c r="N105" s="6" t="str">
        <f>IF(O85&lt;&gt;"","z","t")</f>
        <v>z</v>
      </c>
      <c r="O105" s="8">
        <f>(O86-O84)/(IF(O85&lt;&gt;"",O85,O88)/SQRT(O87))</f>
        <v>1.8257418583505536</v>
      </c>
    </row>
    <row r="106" spans="1:16">
      <c r="B106" t="str">
        <f>N94</f>
        <v>H1</v>
      </c>
      <c r="C106" s="35" t="str">
        <f>O94</f>
        <v>mu != 45000</v>
      </c>
      <c r="M106" s="2" t="str">
        <f>ROUND(O105,4)&amp;O100</f>
        <v>1.8257 &lt; -1.285</v>
      </c>
      <c r="N106" s="2"/>
      <c r="O106" s="5" t="b">
        <v>0</v>
      </c>
    </row>
    <row r="107" spans="1:16">
      <c r="M107" s="2" t="str">
        <f>IF(O90&lt;&gt;"both","",ROUND(O105,4)&amp;O101)</f>
        <v>1.8257 &gt; 1.285</v>
      </c>
      <c r="N107" s="2"/>
      <c r="O107" s="5" t="b">
        <v>1</v>
      </c>
    </row>
    <row r="108" spans="1:16">
      <c r="B108" s="1" t="s">
        <v>110</v>
      </c>
      <c r="L108" s="17"/>
      <c r="M108" s="17"/>
      <c r="N108" s="17"/>
    </row>
    <row r="109" spans="1:16">
      <c r="B109" t="str">
        <f>L104</f>
        <v>Reject the null hypothesis if z &lt; -1.285 or z is  &gt; 1.285</v>
      </c>
    </row>
    <row r="110" spans="1:16">
      <c r="B110" t="str">
        <f>L111</f>
        <v>Reject the null hypothesis if p-value is &lt; 0.1</v>
      </c>
      <c r="K110" s="1">
        <v>4</v>
      </c>
      <c r="L110" s="1" t="s">
        <v>108</v>
      </c>
    </row>
    <row r="111" spans="1:16">
      <c r="L111" s="1" t="str">
        <f>"Reject the null hypothesis if p-value is &lt; "&amp;O91</f>
        <v>Reject the null hypothesis if p-value is &lt; 0.1</v>
      </c>
    </row>
    <row r="112" spans="1:16">
      <c r="B112" s="1" t="s">
        <v>3</v>
      </c>
      <c r="N112" s="2" t="s">
        <v>26</v>
      </c>
      <c r="O112" s="24">
        <f>IF(O85&lt;&gt;"",ABS(ROUND(O105,2)),"")</f>
        <v>1.83</v>
      </c>
    </row>
    <row r="113" spans="1:16">
      <c r="B113" s="2" t="s">
        <v>29</v>
      </c>
      <c r="C113" s="20">
        <f>O105</f>
        <v>1.8257418583505536</v>
      </c>
      <c r="N113" s="2" t="s">
        <v>38</v>
      </c>
      <c r="O113" s="41">
        <f>_xlfn.NORM.S.DIST(O112,TRUE)-0.5</f>
        <v>0.46637503058037166</v>
      </c>
      <c r="P113" t="s">
        <v>85</v>
      </c>
    </row>
    <row r="114" spans="1:16">
      <c r="B114" s="2" t="s">
        <v>25</v>
      </c>
      <c r="C114" s="20">
        <f>O114</f>
        <v>6.7249938839256673E-2</v>
      </c>
      <c r="M114" s="17"/>
      <c r="N114" s="17" t="s">
        <v>25</v>
      </c>
      <c r="O114" s="18">
        <f>IF(O85&lt;&gt;"",IF(O90="both",2,1)*(0.5-O113),"")</f>
        <v>6.7249938839256673E-2</v>
      </c>
    </row>
    <row r="115" spans="1:16">
      <c r="N115" s="2" t="s">
        <v>63</v>
      </c>
      <c r="O115" s="20">
        <f>O91</f>
        <v>9.9999999999999978E-2</v>
      </c>
    </row>
    <row r="116" spans="1:16">
      <c r="B116" s="1" t="s">
        <v>4</v>
      </c>
      <c r="N116" s="2" t="s">
        <v>109</v>
      </c>
      <c r="O116" s="2" t="b">
        <f>O114&lt;O115</f>
        <v>1</v>
      </c>
    </row>
    <row r="117" spans="1:16">
      <c r="B117" t="str">
        <f>M120</f>
        <v>Reject H0 (mu = 45000)</v>
      </c>
      <c r="L117" t="str">
        <f>"If H0 is true, the probability of finding a sample mean this extreme is "&amp;ROUND(O114,4)</f>
        <v>If H0 is true, the probability of finding a sample mean this extreme is 0.0672</v>
      </c>
    </row>
    <row r="118" spans="1:16">
      <c r="B118" t="str">
        <f>M121</f>
        <v>We can conclude that the mean income is not $45,000.</v>
      </c>
    </row>
    <row r="119" spans="1:16">
      <c r="K119" s="1">
        <v>5</v>
      </c>
      <c r="L119" s="1" t="s">
        <v>69</v>
      </c>
    </row>
    <row r="120" spans="1:16">
      <c r="B120" s="1" t="s">
        <v>5</v>
      </c>
      <c r="M120" s="34" t="str">
        <f>IFERROR(IF(O116,"Reject H0 ("&amp;O93&amp;")","Fail to reject H0 ("&amp;O93&amp;")"),"")</f>
        <v>Reject H0 (mu = 45000)</v>
      </c>
    </row>
    <row r="121" spans="1:16">
      <c r="B121" s="20">
        <f>O114</f>
        <v>6.7249938839256673E-2</v>
      </c>
      <c r="C121" t="str">
        <f>L117</f>
        <v>If H0 is true, the probability of finding a sample mean this extreme is 0.0672</v>
      </c>
      <c r="M121" t="s">
        <v>115</v>
      </c>
    </row>
    <row r="123" spans="1:16">
      <c r="A123" s="1" t="s">
        <v>80</v>
      </c>
      <c r="K123" s="1" t="str">
        <f>"Hypothesis Test with "&amp;IF(O126&lt;&gt;"","a ","an un")&amp;"known sigma"</f>
        <v>Hypothesis Test with a known sigma</v>
      </c>
    </row>
    <row r="124" spans="1:16" ht="12" customHeight="1">
      <c r="A124" s="1" t="s">
        <v>116</v>
      </c>
      <c r="B124" s="128" t="s">
        <v>117</v>
      </c>
      <c r="C124" s="128"/>
      <c r="D124" s="128"/>
      <c r="E124" s="128"/>
      <c r="F124" s="128"/>
      <c r="G124" s="128"/>
      <c r="H124" s="128"/>
      <c r="I124" s="128"/>
      <c r="K124" s="1">
        <v>1</v>
      </c>
      <c r="L124" s="1" t="s">
        <v>71</v>
      </c>
    </row>
    <row r="125" spans="1:16">
      <c r="A125" s="1"/>
      <c r="B125" s="128"/>
      <c r="C125" s="128"/>
      <c r="D125" s="128"/>
      <c r="E125" s="128"/>
      <c r="F125" s="128"/>
      <c r="G125" s="128"/>
      <c r="H125" s="128"/>
      <c r="I125" s="128"/>
      <c r="M125" s="2" t="s">
        <v>18</v>
      </c>
      <c r="N125" s="2" t="s">
        <v>12</v>
      </c>
      <c r="O125" s="38">
        <v>10</v>
      </c>
      <c r="P125" t="s">
        <v>57</v>
      </c>
    </row>
    <row r="126" spans="1:16">
      <c r="A126" s="1"/>
      <c r="B126" s="128"/>
      <c r="C126" s="128"/>
      <c r="D126" s="128"/>
      <c r="E126" s="128"/>
      <c r="F126" s="128"/>
      <c r="G126" s="128"/>
      <c r="H126" s="128"/>
      <c r="I126" s="128"/>
      <c r="M126" s="2" t="s">
        <v>19</v>
      </c>
      <c r="N126" s="2" t="s">
        <v>13</v>
      </c>
      <c r="O126" s="38">
        <v>2.8</v>
      </c>
    </row>
    <row r="127" spans="1:16">
      <c r="A127" s="1"/>
      <c r="B127" s="128"/>
      <c r="C127" s="128"/>
      <c r="D127" s="128"/>
      <c r="E127" s="128"/>
      <c r="F127" s="128"/>
      <c r="G127" s="128"/>
      <c r="H127" s="128"/>
      <c r="I127" s="128"/>
      <c r="M127" s="2" t="s">
        <v>20</v>
      </c>
      <c r="N127" s="2" t="s">
        <v>14</v>
      </c>
      <c r="O127" s="38">
        <v>9</v>
      </c>
      <c r="P127" t="s">
        <v>54</v>
      </c>
    </row>
    <row r="128" spans="1:16">
      <c r="A128" s="1"/>
      <c r="B128" s="128"/>
      <c r="C128" s="128"/>
      <c r="D128" s="128"/>
      <c r="E128" s="128"/>
      <c r="F128" s="128"/>
      <c r="G128" s="128"/>
      <c r="H128" s="128"/>
      <c r="I128" s="128"/>
      <c r="M128" s="2" t="s">
        <v>22</v>
      </c>
      <c r="N128" s="2" t="s">
        <v>15</v>
      </c>
      <c r="O128" s="38">
        <v>50</v>
      </c>
      <c r="P128" t="s">
        <v>56</v>
      </c>
    </row>
    <row r="129" spans="1:16">
      <c r="A129" s="1"/>
      <c r="B129" s="128"/>
      <c r="C129" s="128"/>
      <c r="D129" s="128"/>
      <c r="E129" s="128"/>
      <c r="F129" s="128"/>
      <c r="G129" s="128"/>
      <c r="H129" s="128"/>
      <c r="I129" s="128"/>
      <c r="M129" s="2" t="s">
        <v>42</v>
      </c>
      <c r="N129" s="2" t="s">
        <v>43</v>
      </c>
      <c r="O129" s="39"/>
    </row>
    <row r="130" spans="1:16">
      <c r="A130" s="1"/>
      <c r="B130" s="128"/>
      <c r="C130" s="128"/>
      <c r="D130" s="128"/>
      <c r="E130" s="128"/>
      <c r="F130" s="128"/>
      <c r="G130" s="128"/>
      <c r="H130" s="128"/>
      <c r="I130" s="128"/>
      <c r="M130" s="2" t="s">
        <v>23</v>
      </c>
      <c r="O130" s="38">
        <v>0.95</v>
      </c>
    </row>
    <row r="131" spans="1:16">
      <c r="A131" s="1"/>
      <c r="B131" s="128"/>
      <c r="C131" s="128"/>
      <c r="D131" s="128"/>
      <c r="E131" s="128"/>
      <c r="F131" s="128"/>
      <c r="G131" s="128"/>
      <c r="H131" s="128"/>
      <c r="I131" s="128"/>
      <c r="M131" s="2" t="s">
        <v>88</v>
      </c>
      <c r="O131" s="38" t="s">
        <v>36</v>
      </c>
    </row>
    <row r="132" spans="1:16">
      <c r="A132" s="1"/>
      <c r="B132" s="1" t="s">
        <v>1</v>
      </c>
      <c r="C132" s="1"/>
      <c r="D132" s="1"/>
      <c r="E132" s="1"/>
      <c r="F132" s="1"/>
      <c r="G132" s="1"/>
      <c r="H132" s="1"/>
      <c r="I132" s="1"/>
      <c r="M132" s="31" t="s">
        <v>16</v>
      </c>
      <c r="N132" s="31" t="s">
        <v>63</v>
      </c>
      <c r="O132" s="40">
        <f>1-O130</f>
        <v>5.0000000000000044E-2</v>
      </c>
      <c r="P132" t="s">
        <v>66</v>
      </c>
    </row>
    <row r="133" spans="1:16">
      <c r="A133" s="1"/>
      <c r="B133" s="1" t="s">
        <v>2</v>
      </c>
      <c r="C133" s="1"/>
      <c r="D133" s="1"/>
      <c r="E133" s="1"/>
      <c r="F133" s="1"/>
      <c r="G133" s="1"/>
      <c r="H133" s="1"/>
      <c r="I133" s="1"/>
      <c r="M133" s="31" t="s">
        <v>46</v>
      </c>
      <c r="N133" s="31" t="s">
        <v>45</v>
      </c>
      <c r="O133" s="34">
        <f>O128-1</f>
        <v>49</v>
      </c>
      <c r="P133" t="s">
        <v>45</v>
      </c>
    </row>
    <row r="134" spans="1:16">
      <c r="A134" s="1"/>
      <c r="B134" s="1" t="s">
        <v>3</v>
      </c>
      <c r="C134" s="1"/>
      <c r="D134" s="1"/>
      <c r="E134" s="1"/>
      <c r="F134" s="1"/>
      <c r="G134" s="1"/>
      <c r="H134" s="1"/>
      <c r="I134" s="1"/>
      <c r="M134" s="2" t="s">
        <v>73</v>
      </c>
      <c r="N134" s="2" t="s">
        <v>10</v>
      </c>
      <c r="O134" s="32" t="str">
        <f>"mu"&amp;IF(O131="left"," &gt;= ",IF(O131="right"," &lt;= "," = "))&amp;O125</f>
        <v>mu &gt;= 10</v>
      </c>
    </row>
    <row r="135" spans="1:16">
      <c r="A135" s="1"/>
      <c r="B135" s="1" t="s">
        <v>4</v>
      </c>
      <c r="C135" s="1"/>
      <c r="D135" s="1"/>
      <c r="E135" s="1"/>
      <c r="F135" s="1"/>
      <c r="G135" s="1"/>
      <c r="H135" s="1"/>
      <c r="I135" s="1"/>
      <c r="M135" s="2" t="s">
        <v>72</v>
      </c>
      <c r="N135" s="2" t="s">
        <v>11</v>
      </c>
      <c r="O135" s="32" t="str">
        <f>"mu"&amp;IF(O131="left"," &lt; ",IF(O131="right"," &gt; "," != "))&amp;O125</f>
        <v>mu &lt; 10</v>
      </c>
    </row>
    <row r="136" spans="1:16">
      <c r="A136" s="1"/>
      <c r="B136" s="1" t="s">
        <v>5</v>
      </c>
      <c r="C136" s="1"/>
      <c r="D136" s="1"/>
      <c r="E136" s="1"/>
      <c r="F136" s="1"/>
      <c r="G136" s="1"/>
      <c r="H136" s="1"/>
      <c r="I136" s="1"/>
    </row>
    <row r="137" spans="1:16">
      <c r="A137" s="1"/>
      <c r="B137" s="1"/>
      <c r="C137" s="1"/>
      <c r="D137" s="1"/>
      <c r="E137" s="1"/>
      <c r="F137" s="1"/>
      <c r="G137" s="1"/>
      <c r="H137" s="1"/>
      <c r="I137" s="1"/>
      <c r="K137" s="1" t="s">
        <v>67</v>
      </c>
    </row>
    <row r="138" spans="1:16">
      <c r="A138" s="1"/>
      <c r="B138" s="1"/>
      <c r="C138" s="1"/>
      <c r="D138" s="1"/>
      <c r="E138" s="1"/>
      <c r="F138" s="1"/>
      <c r="G138" s="1"/>
      <c r="H138" s="1"/>
      <c r="I138" s="1"/>
      <c r="K138" s="1">
        <v>2</v>
      </c>
      <c r="L138" s="1" t="s">
        <v>79</v>
      </c>
    </row>
    <row r="139" spans="1:16">
      <c r="A139" s="1"/>
      <c r="B139" s="1"/>
      <c r="C139" s="1"/>
      <c r="D139" s="1"/>
      <c r="E139" s="1"/>
      <c r="F139" s="1"/>
      <c r="G139" s="1"/>
      <c r="H139" s="1"/>
      <c r="I139" s="1"/>
      <c r="N139" s="2" t="s">
        <v>37</v>
      </c>
      <c r="O139" s="8">
        <f>0.5-(O132)</f>
        <v>0.44999999999999996</v>
      </c>
    </row>
    <row r="140" spans="1:16">
      <c r="A140" s="1"/>
      <c r="B140" s="1"/>
      <c r="C140" s="1"/>
      <c r="D140" s="1"/>
      <c r="E140" s="1"/>
      <c r="F140" s="1"/>
      <c r="G140" s="1"/>
      <c r="H140" s="1"/>
      <c r="I140" s="1"/>
      <c r="N140" s="2" t="s">
        <v>49</v>
      </c>
      <c r="O140" s="3">
        <v>1.645</v>
      </c>
      <c r="P140" t="str">
        <f>"lookup "&amp;IF(O126&lt;&gt;"","z","t")&amp;"-table"</f>
        <v>lookup z-table</v>
      </c>
    </row>
    <row r="141" spans="1:16">
      <c r="A141" s="1"/>
      <c r="B141" s="1"/>
      <c r="C141" s="1"/>
      <c r="D141" s="1"/>
      <c r="E141" s="1"/>
      <c r="F141" s="1"/>
      <c r="G141" s="1"/>
      <c r="H141" s="1"/>
      <c r="I141" s="1"/>
      <c r="M141" s="9"/>
      <c r="N141" s="31" t="str">
        <f>"Rejection Region"&amp;IF(LOWER(O131)="both"," Low","")</f>
        <v>Rejection Region</v>
      </c>
      <c r="O141" s="31" t="str">
        <f>IF(O131="left"," &lt; "&amp;-1*O140,IF(O131="right"," &gt; "&amp;1*O140," &lt; "&amp;-1*O140))</f>
        <v xml:space="preserve"> &lt; -1.645</v>
      </c>
    </row>
    <row r="142" spans="1:16">
      <c r="A142" s="1"/>
      <c r="B142" s="1"/>
      <c r="C142" s="1"/>
      <c r="D142" s="1"/>
      <c r="E142" s="1"/>
      <c r="F142" s="1"/>
      <c r="G142" s="1"/>
      <c r="H142" s="1"/>
      <c r="I142" s="1"/>
      <c r="N142" s="2" t="str">
        <f>IF(LOWER(O131)="both","Rejection Region High","")</f>
        <v/>
      </c>
      <c r="O142" s="2" t="str">
        <f>IF(O131="both"," &gt; "&amp;1*O140,"")</f>
        <v/>
      </c>
    </row>
    <row r="143" spans="1:16">
      <c r="A143" s="1"/>
      <c r="B143" s="1"/>
      <c r="C143" s="1"/>
      <c r="D143" s="1"/>
      <c r="E143" s="1"/>
      <c r="F143" s="1"/>
      <c r="G143" s="1"/>
      <c r="H143" s="1"/>
      <c r="I143" s="1"/>
    </row>
    <row r="144" spans="1:16">
      <c r="A144" s="1" t="s">
        <v>81</v>
      </c>
      <c r="K144" s="1">
        <v>3</v>
      </c>
      <c r="L144" s="1" t="s">
        <v>107</v>
      </c>
    </row>
    <row r="145" spans="2:16">
      <c r="B145" s="1" t="s">
        <v>1</v>
      </c>
      <c r="C145" s="35"/>
      <c r="L145" s="1" t="str">
        <f>"Reject the null hypothesis "&amp;"if "&amp;N146&amp;O141&amp;IF(O131="both"," or "&amp;N146&amp;" is "&amp;O142,"")</f>
        <v>Reject the null hypothesis if z &lt; -1.645</v>
      </c>
      <c r="O145" s="1"/>
    </row>
    <row r="146" spans="2:16">
      <c r="B146" t="str">
        <f>N134</f>
        <v>H0</v>
      </c>
      <c r="C146" s="35" t="str">
        <f>O134</f>
        <v>mu &gt;= 10</v>
      </c>
      <c r="M146" s="2" t="s">
        <v>21</v>
      </c>
      <c r="N146" s="6" t="str">
        <f>IF(O126&lt;&gt;"","z","t")</f>
        <v>z</v>
      </c>
      <c r="O146" s="8">
        <f>(O127-O125)/(IF(O126&lt;&gt;"",O126,O129)/SQRT(O128))</f>
        <v>-2.5253813613805272</v>
      </c>
    </row>
    <row r="147" spans="2:16">
      <c r="B147" t="str">
        <f>N135</f>
        <v>H1</v>
      </c>
      <c r="C147" s="35" t="str">
        <f>O135</f>
        <v>mu &lt; 10</v>
      </c>
      <c r="M147" s="2" t="str">
        <f>ROUND(O146,4)&amp;O141</f>
        <v>-2.5254 &lt; -1.645</v>
      </c>
      <c r="N147" s="2"/>
      <c r="O147" s="5" t="b">
        <v>1</v>
      </c>
    </row>
    <row r="148" spans="2:16">
      <c r="M148" s="2" t="str">
        <f>IF(O131&lt;&gt;"both","",ROUND(O146,4)&amp;O142)</f>
        <v/>
      </c>
      <c r="N148" s="2"/>
      <c r="O148" s="5"/>
    </row>
    <row r="149" spans="2:16">
      <c r="B149" s="1" t="s">
        <v>110</v>
      </c>
      <c r="L149" s="17"/>
      <c r="M149" s="17"/>
      <c r="N149" s="17"/>
    </row>
    <row r="150" spans="2:16">
      <c r="B150" t="str">
        <f>L145</f>
        <v>Reject the null hypothesis if z &lt; -1.645</v>
      </c>
    </row>
    <row r="151" spans="2:16">
      <c r="B151" t="str">
        <f>L152</f>
        <v>Reject the null hypothesis if p-value is &lt; 0.05</v>
      </c>
      <c r="K151" s="1">
        <v>4</v>
      </c>
      <c r="L151" s="1" t="s">
        <v>108</v>
      </c>
    </row>
    <row r="152" spans="2:16">
      <c r="L152" s="1" t="str">
        <f>"Reject the null hypothesis if p-value is &lt; "&amp;O132</f>
        <v>Reject the null hypothesis if p-value is &lt; 0.05</v>
      </c>
    </row>
    <row r="153" spans="2:16">
      <c r="B153" s="1" t="s">
        <v>3</v>
      </c>
      <c r="N153" s="2" t="s">
        <v>26</v>
      </c>
      <c r="O153" s="24">
        <f>IF(O126&lt;&gt;"",ABS(ROUND(O146,2)),"")</f>
        <v>2.5299999999999998</v>
      </c>
    </row>
    <row r="154" spans="2:16">
      <c r="B154" s="2" t="s">
        <v>29</v>
      </c>
      <c r="C154" s="20">
        <f>O146</f>
        <v>-2.5253813613805272</v>
      </c>
      <c r="N154" s="2" t="s">
        <v>38</v>
      </c>
      <c r="O154" s="41">
        <f>_xlfn.NORM.S.DIST(O153,TRUE)-0.5</f>
        <v>0.49429687366704933</v>
      </c>
      <c r="P154" t="str">
        <f>"lookup "&amp;IF(O126&lt;&gt;"","z","t")&amp;"-table"</f>
        <v>lookup z-table</v>
      </c>
    </row>
    <row r="155" spans="2:16">
      <c r="B155" s="2" t="s">
        <v>25</v>
      </c>
      <c r="C155" s="20">
        <f>O155</f>
        <v>5.7031263329506698E-3</v>
      </c>
      <c r="M155" s="17"/>
      <c r="N155" s="17" t="s">
        <v>25</v>
      </c>
      <c r="O155" s="18">
        <f>IF(O126&lt;&gt;"",IF(O131="both",2,1)*(0.5-O154),"")</f>
        <v>5.7031263329506698E-3</v>
      </c>
    </row>
    <row r="156" spans="2:16">
      <c r="N156" s="2" t="s">
        <v>63</v>
      </c>
      <c r="O156" s="20">
        <f>O132</f>
        <v>5.0000000000000044E-2</v>
      </c>
    </row>
    <row r="157" spans="2:16">
      <c r="B157" s="1" t="s">
        <v>4</v>
      </c>
      <c r="N157" s="2" t="s">
        <v>109</v>
      </c>
      <c r="O157" s="2" t="b">
        <f>O155&lt;O156</f>
        <v>1</v>
      </c>
    </row>
    <row r="158" spans="2:16">
      <c r="B158" t="str">
        <f>M161</f>
        <v>Reject H0 (mu &gt;= 10)</v>
      </c>
      <c r="L158" t="str">
        <f>"If H0 is true, the probability of finding a sample mean this extreme is "&amp;ROUND(O155,4)</f>
        <v>If H0 is true, the probability of finding a sample mean this extreme is 0.0057</v>
      </c>
    </row>
    <row r="159" spans="2:16">
      <c r="B159" t="str">
        <f>M162</f>
        <v>We conclude that those joining Weight Reducers will lose less than 10 pounds.</v>
      </c>
    </row>
    <row r="160" spans="2:16">
      <c r="K160" s="1">
        <v>5</v>
      </c>
      <c r="L160" s="1" t="s">
        <v>69</v>
      </c>
    </row>
    <row r="161" spans="2:13">
      <c r="B161" s="1" t="s">
        <v>5</v>
      </c>
      <c r="M161" s="34" t="str">
        <f>IFERROR(IF(O157,"Reject H0 ("&amp;O134&amp;")","Fail to reject H0 ("&amp;O134&amp;")"),"")</f>
        <v>Reject H0 (mu &gt;= 10)</v>
      </c>
    </row>
    <row r="162" spans="2:13">
      <c r="B162" s="20">
        <f>O155</f>
        <v>5.7031263329506698E-3</v>
      </c>
      <c r="C162" t="str">
        <f>L158</f>
        <v>If H0 is true, the probability of finding a sample mean this extreme is 0.0057</v>
      </c>
      <c r="M162" t="s">
        <v>118</v>
      </c>
    </row>
  </sheetData>
  <mergeCells count="4">
    <mergeCell ref="B2:I9"/>
    <mergeCell ref="B42:I49"/>
    <mergeCell ref="B83:I90"/>
    <mergeCell ref="B124:I131"/>
  </mergeCells>
  <dataValidations count="1">
    <dataValidation type="list" allowBlank="1" showInputMessage="1" showErrorMessage="1" sqref="O9 O49 O90 O131" xr:uid="{CB21C6D8-85A2-45F1-A42F-3E5F4375EB69}">
      <formula1>"left, right, both"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B67-2380-4832-930E-4EB301EA776F}">
  <dimension ref="A1:AC339"/>
  <sheetViews>
    <sheetView topLeftCell="A290" workbookViewId="0">
      <selection activeCell="O320" sqref="O320"/>
    </sheetView>
  </sheetViews>
  <sheetFormatPr defaultRowHeight="12"/>
  <cols>
    <col min="1" max="1" width="5.42578125" bestFit="1" customWidth="1"/>
    <col min="9" max="9" width="9.140625" customWidth="1"/>
    <col min="15" max="15" width="8.42578125" customWidth="1"/>
  </cols>
  <sheetData>
    <row r="1" spans="1:29">
      <c r="A1" s="1" t="s">
        <v>80</v>
      </c>
      <c r="K1" s="1" t="str">
        <f>"Hypothesis Test with "&amp;IF(O4&lt;&gt;"","a ","an un")&amp;"known sigma"</f>
        <v>Hypothesis Test with an unknown sigma</v>
      </c>
      <c r="S1" s="1"/>
    </row>
    <row r="2" spans="1:29" ht="12" customHeight="1">
      <c r="A2" s="1" t="s">
        <v>40</v>
      </c>
      <c r="B2" s="128" t="s">
        <v>41</v>
      </c>
      <c r="C2" s="128"/>
      <c r="D2" s="128"/>
      <c r="E2" s="128"/>
      <c r="F2" s="128"/>
      <c r="G2" s="128"/>
      <c r="H2" s="128"/>
      <c r="I2" s="128"/>
      <c r="J2" s="128"/>
      <c r="K2" s="1">
        <v>1</v>
      </c>
      <c r="L2" s="1" t="s">
        <v>71</v>
      </c>
      <c r="S2" s="1"/>
    </row>
    <row r="3" spans="1:29">
      <c r="A3" s="1"/>
      <c r="B3" s="128"/>
      <c r="C3" s="128"/>
      <c r="D3" s="128"/>
      <c r="E3" s="128"/>
      <c r="F3" s="128"/>
      <c r="G3" s="128"/>
      <c r="H3" s="128"/>
      <c r="I3" s="128"/>
      <c r="J3" s="128"/>
      <c r="M3" s="2" t="s">
        <v>18</v>
      </c>
      <c r="N3" s="2" t="s">
        <v>12</v>
      </c>
      <c r="O3" s="38">
        <v>40</v>
      </c>
      <c r="P3" t="s">
        <v>57</v>
      </c>
      <c r="AA3" s="2"/>
      <c r="AB3" s="4"/>
    </row>
    <row r="4" spans="1:29">
      <c r="A4" s="1"/>
      <c r="B4" s="128"/>
      <c r="C4" s="128"/>
      <c r="D4" s="128"/>
      <c r="E4" s="128"/>
      <c r="F4" s="128"/>
      <c r="G4" s="128"/>
      <c r="H4" s="128"/>
      <c r="I4" s="128"/>
      <c r="J4" s="128"/>
      <c r="M4" s="2" t="s">
        <v>19</v>
      </c>
      <c r="N4" s="2" t="s">
        <v>13</v>
      </c>
      <c r="O4" s="38"/>
      <c r="AA4" s="2"/>
      <c r="AB4" s="4"/>
      <c r="AC4" s="43"/>
    </row>
    <row r="5" spans="1:29">
      <c r="A5" s="1"/>
      <c r="B5" s="128"/>
      <c r="C5" s="128"/>
      <c r="D5" s="128"/>
      <c r="E5" s="128"/>
      <c r="F5" s="128"/>
      <c r="G5" s="128"/>
      <c r="H5" s="128"/>
      <c r="I5" s="128"/>
      <c r="J5" s="128"/>
      <c r="M5" s="2" t="s">
        <v>20</v>
      </c>
      <c r="N5" s="2" t="s">
        <v>14</v>
      </c>
      <c r="O5" s="38">
        <v>42</v>
      </c>
      <c r="P5" t="s">
        <v>54</v>
      </c>
    </row>
    <row r="6" spans="1:29">
      <c r="A6" s="1"/>
      <c r="B6" s="128"/>
      <c r="C6" s="128"/>
      <c r="D6" s="128"/>
      <c r="E6" s="128"/>
      <c r="F6" s="128"/>
      <c r="G6" s="128"/>
      <c r="H6" s="128"/>
      <c r="I6" s="128"/>
      <c r="J6" s="128"/>
      <c r="M6" s="2" t="s">
        <v>22</v>
      </c>
      <c r="N6" s="2" t="s">
        <v>15</v>
      </c>
      <c r="O6" s="38">
        <v>28</v>
      </c>
      <c r="P6" t="s">
        <v>56</v>
      </c>
      <c r="AA6" s="1"/>
      <c r="AB6" s="1"/>
    </row>
    <row r="7" spans="1:29">
      <c r="A7" s="1"/>
      <c r="B7" s="128"/>
      <c r="C7" s="128"/>
      <c r="D7" s="128"/>
      <c r="E7" s="128"/>
      <c r="F7" s="128"/>
      <c r="G7" s="128"/>
      <c r="H7" s="128"/>
      <c r="I7" s="128"/>
      <c r="J7" s="128"/>
      <c r="M7" s="2" t="s">
        <v>42</v>
      </c>
      <c r="N7" s="2" t="s">
        <v>43</v>
      </c>
      <c r="O7" s="39">
        <v>2.1</v>
      </c>
    </row>
    <row r="8" spans="1:29">
      <c r="A8" s="1"/>
      <c r="B8" s="128"/>
      <c r="C8" s="128"/>
      <c r="D8" s="128"/>
      <c r="E8" s="128"/>
      <c r="F8" s="128"/>
      <c r="G8" s="128"/>
      <c r="H8" s="128"/>
      <c r="I8" s="128"/>
      <c r="J8" s="128"/>
      <c r="M8" s="2" t="s">
        <v>23</v>
      </c>
      <c r="O8" s="38">
        <v>0.95</v>
      </c>
      <c r="AB8" s="2"/>
      <c r="AC8" s="20"/>
    </row>
    <row r="9" spans="1:29">
      <c r="A9" s="1"/>
      <c r="B9" s="128"/>
      <c r="C9" s="128"/>
      <c r="D9" s="128"/>
      <c r="E9" s="128"/>
      <c r="F9" s="128"/>
      <c r="G9" s="128"/>
      <c r="H9" s="128"/>
      <c r="I9" s="128"/>
      <c r="J9" s="128"/>
      <c r="M9" s="2" t="s">
        <v>35</v>
      </c>
      <c r="O9" s="38" t="s">
        <v>44</v>
      </c>
      <c r="AB9" s="2"/>
      <c r="AC9" s="20"/>
    </row>
    <row r="10" spans="1:29">
      <c r="A10" s="1"/>
      <c r="B10" s="128"/>
      <c r="C10" s="128"/>
      <c r="D10" s="128"/>
      <c r="E10" s="128"/>
      <c r="F10" s="128"/>
      <c r="G10" s="128"/>
      <c r="H10" s="128"/>
      <c r="I10" s="128"/>
      <c r="J10" s="128"/>
      <c r="M10" s="31" t="s">
        <v>16</v>
      </c>
      <c r="N10" s="31" t="s">
        <v>63</v>
      </c>
      <c r="O10" s="40">
        <f>1-O8</f>
        <v>5.0000000000000044E-2</v>
      </c>
      <c r="P10" t="s">
        <v>66</v>
      </c>
      <c r="AC10" s="2"/>
    </row>
    <row r="11" spans="1:29">
      <c r="A11" s="1"/>
      <c r="B11" s="128"/>
      <c r="C11" s="128"/>
      <c r="D11" s="128"/>
      <c r="E11" s="128"/>
      <c r="F11" s="128"/>
      <c r="G11" s="128"/>
      <c r="H11" s="128"/>
      <c r="I11" s="128"/>
      <c r="J11" s="128"/>
      <c r="M11" s="31" t="s">
        <v>46</v>
      </c>
      <c r="N11" s="31" t="s">
        <v>45</v>
      </c>
      <c r="O11" s="34">
        <f>O6-1</f>
        <v>27</v>
      </c>
      <c r="P11" t="s">
        <v>45</v>
      </c>
    </row>
    <row r="12" spans="1:29">
      <c r="A12" s="1"/>
      <c r="B12" s="128"/>
      <c r="C12" s="128"/>
      <c r="D12" s="128"/>
      <c r="E12" s="128"/>
      <c r="F12" s="128"/>
      <c r="G12" s="128"/>
      <c r="H12" s="128"/>
      <c r="I12" s="128"/>
      <c r="J12" s="128"/>
      <c r="M12" s="2" t="s">
        <v>73</v>
      </c>
      <c r="N12" s="2" t="s">
        <v>10</v>
      </c>
      <c r="O12" s="32" t="str">
        <f>"mu"&amp;IF(O9="left"," &gt;= ",IF(O9="right"," &lt;= "," = "))&amp;O3</f>
        <v>mu &lt;= 40</v>
      </c>
    </row>
    <row r="13" spans="1:29">
      <c r="A13" s="1"/>
      <c r="B13" s="128"/>
      <c r="C13" s="128"/>
      <c r="D13" s="128"/>
      <c r="E13" s="128"/>
      <c r="F13" s="128"/>
      <c r="G13" s="128"/>
      <c r="H13" s="128"/>
      <c r="I13" s="128"/>
      <c r="J13" s="128"/>
      <c r="M13" s="2" t="s">
        <v>72</v>
      </c>
      <c r="N13" s="2" t="s">
        <v>11</v>
      </c>
      <c r="O13" s="32" t="str">
        <f>"mu"&amp;IF(O9="left"," &lt; ",IF(O9="right"," &gt; "," != "))&amp;O3</f>
        <v>mu &gt; 40</v>
      </c>
      <c r="AB13" s="2"/>
      <c r="AC13" s="20"/>
    </row>
    <row r="14" spans="1:29">
      <c r="A14" s="1"/>
      <c r="C14" s="1"/>
      <c r="AB14" s="2"/>
      <c r="AC14" s="20"/>
    </row>
    <row r="15" spans="1:29">
      <c r="A15" s="1"/>
      <c r="C15" s="1"/>
      <c r="K15" s="1" t="s">
        <v>67</v>
      </c>
      <c r="S15" s="1"/>
      <c r="AC15" s="2"/>
    </row>
    <row r="16" spans="1:29">
      <c r="A16" s="1"/>
      <c r="C16" s="1"/>
      <c r="K16" s="1">
        <v>2</v>
      </c>
      <c r="L16" s="1" t="s">
        <v>79</v>
      </c>
    </row>
    <row r="17" spans="1:18">
      <c r="A17" s="1"/>
      <c r="B17" s="1"/>
      <c r="C17" s="1"/>
      <c r="N17" s="2" t="s">
        <v>49</v>
      </c>
      <c r="O17" s="3">
        <v>1.7030000000000001</v>
      </c>
      <c r="P17" t="s">
        <v>91</v>
      </c>
    </row>
    <row r="18" spans="1:18">
      <c r="N18" s="2" t="s">
        <v>37</v>
      </c>
      <c r="O18" s="8">
        <f>0.5-(O10)</f>
        <v>0.44999999999999996</v>
      </c>
    </row>
    <row r="19" spans="1:18">
      <c r="B19" s="1"/>
      <c r="N19" s="31" t="str">
        <f>"Rejection Region"&amp;IF(LOWER(O9)="both"," Low","")</f>
        <v>Rejection Region</v>
      </c>
      <c r="O19" s="31" t="str">
        <f>IF(O9="left"," &lt; "&amp;-1*O17,IF(O9="right"," &gt; "&amp;1*O17," &lt; "&amp;-1*O17))</f>
        <v xml:space="preserve"> &gt; 1.703</v>
      </c>
    </row>
    <row r="20" spans="1:18">
      <c r="B20" s="1"/>
      <c r="N20" s="2" t="str">
        <f>IF(LOWER(O9)="both","Rejection Region High","")</f>
        <v/>
      </c>
      <c r="O20" s="2" t="str">
        <f>IF(O9="both"," &gt; "&amp;1*O17,"")</f>
        <v/>
      </c>
    </row>
    <row r="21" spans="1:18">
      <c r="B21" s="1"/>
    </row>
    <row r="22" spans="1:18">
      <c r="A22" s="1" t="s">
        <v>81</v>
      </c>
      <c r="K22" s="1">
        <v>3</v>
      </c>
      <c r="L22" s="27" t="s">
        <v>107</v>
      </c>
    </row>
    <row r="23" spans="1:18">
      <c r="B23" s="1" t="s">
        <v>1</v>
      </c>
      <c r="C23" s="35"/>
      <c r="L23" s="1" t="str">
        <f>"Reject the null hypothesis"&amp;" if "&amp;N24&amp;O19&amp;IF(O9="both"," or "&amp;N24&amp;" is "&amp;O20,"")</f>
        <v>Reject the null hypothesis if t &gt; 1.703</v>
      </c>
      <c r="O23" s="1"/>
    </row>
    <row r="24" spans="1:18">
      <c r="B24" t="str">
        <f>N12</f>
        <v>H0</v>
      </c>
      <c r="C24" s="35" t="str">
        <f>O12</f>
        <v>mu &lt;= 40</v>
      </c>
      <c r="M24" s="2" t="s">
        <v>21</v>
      </c>
      <c r="N24" s="6" t="str">
        <f>IF(O4&lt;&gt;"","z","t")</f>
        <v>t</v>
      </c>
      <c r="O24" s="8">
        <f>(O5-O3)/(IF(O4&lt;&gt;"",O4,O7)/SQRT(O6))</f>
        <v>5.0395263067896963</v>
      </c>
    </row>
    <row r="25" spans="1:18">
      <c r="B25" t="str">
        <f>N13</f>
        <v>H1</v>
      </c>
      <c r="C25" s="35" t="str">
        <f>O13</f>
        <v>mu &gt; 40</v>
      </c>
      <c r="M25" s="2" t="str">
        <f>ROUND(O24,4)&amp;O19</f>
        <v>5.0395 &gt; 1.703</v>
      </c>
      <c r="N25" s="2"/>
      <c r="O25" s="5" t="b">
        <v>1</v>
      </c>
    </row>
    <row r="26" spans="1:18">
      <c r="M26" s="2" t="str">
        <f>IF(O9&lt;&gt;"both","",ROUND(O24,4)&amp;O20)</f>
        <v/>
      </c>
      <c r="N26" s="2"/>
      <c r="O26" s="5"/>
    </row>
    <row r="27" spans="1:18">
      <c r="B27" s="1" t="s">
        <v>110</v>
      </c>
      <c r="L27" s="17"/>
      <c r="M27" s="17"/>
      <c r="N27" s="17"/>
    </row>
    <row r="28" spans="1:18">
      <c r="B28" t="str">
        <f>L23</f>
        <v>Reject the null hypothesis if t &gt; 1.703</v>
      </c>
      <c r="K28" s="1">
        <v>4</v>
      </c>
      <c r="L28" s="1" t="s">
        <v>108</v>
      </c>
      <c r="M28" s="9"/>
      <c r="N28" s="9"/>
      <c r="O28" s="9"/>
    </row>
    <row r="29" spans="1:18">
      <c r="B29" t="str">
        <f>L29</f>
        <v>Reject the null hypothesis if p-value is &lt; 0.05</v>
      </c>
      <c r="K29" s="9"/>
      <c r="L29" s="1" t="str">
        <f>"Reject the null hypothesis if p-value is &lt; "&amp;O10</f>
        <v>Reject the null hypothesis if p-value is &lt; 0.05</v>
      </c>
      <c r="Q29" s="9"/>
    </row>
    <row r="30" spans="1:18">
      <c r="K30" s="9"/>
      <c r="L30" s="9"/>
      <c r="M30" s="9"/>
      <c r="N30" s="31" t="s">
        <v>104</v>
      </c>
      <c r="O30" s="46">
        <f>ROUND(O24,3)</f>
        <v>5.04</v>
      </c>
      <c r="P30" s="9"/>
      <c r="Q30" s="9"/>
      <c r="R30" s="36"/>
    </row>
    <row r="31" spans="1:18">
      <c r="B31" s="1" t="s">
        <v>3</v>
      </c>
      <c r="K31" s="9"/>
      <c r="L31" s="9"/>
      <c r="M31" s="9"/>
      <c r="N31" s="31" t="s">
        <v>45</v>
      </c>
      <c r="O31" s="47">
        <f>O11</f>
        <v>27</v>
      </c>
      <c r="P31" s="9"/>
      <c r="Q31" s="9"/>
      <c r="R31" s="36"/>
    </row>
    <row r="32" spans="1:18">
      <c r="B32" s="42">
        <f>O24</f>
        <v>5.0395263067896963</v>
      </c>
      <c r="L32" s="9"/>
      <c r="M32" s="17"/>
      <c r="N32" s="2" t="s">
        <v>105</v>
      </c>
      <c r="O32" s="48">
        <v>0</v>
      </c>
      <c r="P32" t="s">
        <v>91</v>
      </c>
      <c r="Q32" s="9"/>
      <c r="R32" s="36"/>
    </row>
    <row r="33" spans="1:29">
      <c r="N33" s="2" t="s">
        <v>106</v>
      </c>
      <c r="O33" s="33">
        <v>0</v>
      </c>
      <c r="P33" t="s">
        <v>91</v>
      </c>
      <c r="R33" s="36"/>
    </row>
    <row r="34" spans="1:29">
      <c r="B34" s="1" t="s">
        <v>4</v>
      </c>
      <c r="N34" s="31" t="s">
        <v>25</v>
      </c>
      <c r="O34" t="str">
        <f>ROUND(O32,3)&amp;" &lt; p-value &lt; "&amp;ROUND(O33,3)</f>
        <v>0 &lt; p-value &lt; 0</v>
      </c>
    </row>
    <row r="35" spans="1:29">
      <c r="B35" t="str">
        <f>M39</f>
        <v>Reject H0 (mu &lt;= 40)</v>
      </c>
      <c r="N35" s="31" t="s">
        <v>63</v>
      </c>
      <c r="O35">
        <f>O10</f>
        <v>5.0000000000000044E-2</v>
      </c>
    </row>
    <row r="36" spans="1:29">
      <c r="B36" t="str">
        <f>M40</f>
        <v>Conclude that the mean number of calls per salesperson per week is more than 40</v>
      </c>
      <c r="N36" s="31" t="s">
        <v>109</v>
      </c>
      <c r="O36" s="2" t="b">
        <f>O33&lt;=O35</f>
        <v>1</v>
      </c>
    </row>
    <row r="37" spans="1:29">
      <c r="B37" s="1"/>
    </row>
    <row r="38" spans="1:29">
      <c r="B38" s="42"/>
      <c r="K38" s="1">
        <v>5</v>
      </c>
      <c r="L38" s="1" t="s">
        <v>69</v>
      </c>
    </row>
    <row r="39" spans="1:29">
      <c r="B39" s="42"/>
      <c r="K39" s="1"/>
      <c r="L39" s="1"/>
      <c r="M39" s="34" t="str">
        <f>IFERROR(IF(O36,"Reject H0 ("&amp;O12&amp;")","Fail to reject H0 ("&amp;O12&amp;")"),"")</f>
        <v>Reject H0 (mu &lt;= 40)</v>
      </c>
    </row>
    <row r="40" spans="1:29">
      <c r="B40" s="42"/>
      <c r="K40" s="1"/>
      <c r="L40" s="1"/>
      <c r="M40" t="s">
        <v>112</v>
      </c>
    </row>
    <row r="41" spans="1:29">
      <c r="B41" s="42"/>
      <c r="K41" s="1"/>
      <c r="L41" s="1"/>
    </row>
    <row r="42" spans="1:29">
      <c r="A42" s="1" t="s">
        <v>80</v>
      </c>
      <c r="K42" s="1" t="str">
        <f>"Hypothesis Test with "&amp;IF(O45&lt;&gt;"","a ","an un")&amp;"known sigma"</f>
        <v>Hypothesis Test with an unknown sigma</v>
      </c>
      <c r="S42" s="1"/>
    </row>
    <row r="43" spans="1:29">
      <c r="A43" s="1" t="s">
        <v>47</v>
      </c>
      <c r="B43" s="128" t="s">
        <v>48</v>
      </c>
      <c r="C43" s="128"/>
      <c r="D43" s="128"/>
      <c r="E43" s="128"/>
      <c r="F43" s="128"/>
      <c r="G43" s="128"/>
      <c r="H43" s="128"/>
      <c r="I43" s="128"/>
      <c r="J43" s="128"/>
      <c r="K43" s="1">
        <v>1</v>
      </c>
      <c r="L43" s="1" t="s">
        <v>71</v>
      </c>
      <c r="S43" s="1"/>
      <c r="T43" s="1"/>
      <c r="Y43" s="1"/>
      <c r="Z43" s="1"/>
    </row>
    <row r="44" spans="1:29">
      <c r="A44" s="1"/>
      <c r="B44" s="128"/>
      <c r="C44" s="128"/>
      <c r="D44" s="128"/>
      <c r="E44" s="128"/>
      <c r="F44" s="128"/>
      <c r="G44" s="128"/>
      <c r="H44" s="128"/>
      <c r="I44" s="128"/>
      <c r="J44" s="128"/>
      <c r="M44" s="2" t="s">
        <v>18</v>
      </c>
      <c r="N44" s="2" t="s">
        <v>12</v>
      </c>
      <c r="O44" s="38">
        <v>60000</v>
      </c>
      <c r="P44" t="s">
        <v>57</v>
      </c>
      <c r="U44" s="17"/>
      <c r="V44" s="1"/>
      <c r="AA44" s="2"/>
      <c r="AB44" s="4"/>
    </row>
    <row r="45" spans="1:29">
      <c r="A45" s="1"/>
      <c r="B45" s="128"/>
      <c r="C45" s="128"/>
      <c r="D45" s="128"/>
      <c r="E45" s="128"/>
      <c r="F45" s="128"/>
      <c r="G45" s="128"/>
      <c r="H45" s="128"/>
      <c r="I45" s="128"/>
      <c r="J45" s="128"/>
      <c r="M45" s="2" t="s">
        <v>19</v>
      </c>
      <c r="N45" s="2" t="s">
        <v>13</v>
      </c>
      <c r="O45" s="38"/>
      <c r="AA45" s="2"/>
      <c r="AB45" s="4"/>
      <c r="AC45" s="43"/>
    </row>
    <row r="46" spans="1:29">
      <c r="A46" s="1"/>
      <c r="B46" s="128"/>
      <c r="C46" s="128"/>
      <c r="D46" s="128"/>
      <c r="E46" s="128"/>
      <c r="F46" s="128"/>
      <c r="G46" s="128"/>
      <c r="H46" s="128"/>
      <c r="I46" s="128"/>
      <c r="J46" s="128"/>
      <c r="M46" s="2" t="s">
        <v>20</v>
      </c>
      <c r="N46" s="2" t="s">
        <v>14</v>
      </c>
      <c r="O46" s="38">
        <v>70000</v>
      </c>
      <c r="P46" t="s">
        <v>54</v>
      </c>
    </row>
    <row r="47" spans="1:29">
      <c r="A47" s="1"/>
      <c r="B47" s="128"/>
      <c r="C47" s="128"/>
      <c r="D47" s="128"/>
      <c r="E47" s="128"/>
      <c r="F47" s="128"/>
      <c r="G47" s="128"/>
      <c r="H47" s="128"/>
      <c r="I47" s="128"/>
      <c r="J47" s="128"/>
      <c r="M47" s="2" t="s">
        <v>22</v>
      </c>
      <c r="N47" s="2" t="s">
        <v>15</v>
      </c>
      <c r="O47" s="38">
        <v>10</v>
      </c>
      <c r="P47" t="s">
        <v>56</v>
      </c>
      <c r="AA47" s="1"/>
      <c r="AB47" s="1"/>
    </row>
    <row r="48" spans="1:29">
      <c r="A48" s="1"/>
      <c r="B48" s="128"/>
      <c r="C48" s="128"/>
      <c r="D48" s="128"/>
      <c r="E48" s="128"/>
      <c r="F48" s="128"/>
      <c r="G48" s="128"/>
      <c r="H48" s="128"/>
      <c r="I48" s="128"/>
      <c r="J48" s="128"/>
      <c r="M48" s="2" t="s">
        <v>42</v>
      </c>
      <c r="N48" s="2" t="s">
        <v>43</v>
      </c>
      <c r="O48" s="49">
        <v>10000</v>
      </c>
    </row>
    <row r="49" spans="1:29">
      <c r="A49" s="1"/>
      <c r="B49" s="128"/>
      <c r="C49" s="128"/>
      <c r="D49" s="128"/>
      <c r="E49" s="128"/>
      <c r="F49" s="128"/>
      <c r="G49" s="128"/>
      <c r="H49" s="128"/>
      <c r="I49" s="128"/>
      <c r="J49" s="128"/>
      <c r="M49" s="2" t="s">
        <v>23</v>
      </c>
      <c r="O49" s="38">
        <v>0.95</v>
      </c>
      <c r="AB49" s="2"/>
      <c r="AC49" s="20"/>
    </row>
    <row r="50" spans="1:29">
      <c r="A50" s="1"/>
      <c r="B50" s="128"/>
      <c r="C50" s="128"/>
      <c r="D50" s="128"/>
      <c r="E50" s="128"/>
      <c r="F50" s="128"/>
      <c r="G50" s="128"/>
      <c r="H50" s="128"/>
      <c r="I50" s="128"/>
      <c r="J50" s="128"/>
      <c r="M50" s="2" t="s">
        <v>35</v>
      </c>
      <c r="O50" s="38" t="s">
        <v>44</v>
      </c>
      <c r="AB50" s="2"/>
      <c r="AC50" s="20"/>
    </row>
    <row r="51" spans="1:29">
      <c r="A51" s="1"/>
      <c r="B51" s="128"/>
      <c r="C51" s="128"/>
      <c r="D51" s="128"/>
      <c r="E51" s="128"/>
      <c r="F51" s="128"/>
      <c r="G51" s="128"/>
      <c r="H51" s="128"/>
      <c r="I51" s="128"/>
      <c r="J51" s="128"/>
      <c r="M51" s="31" t="s">
        <v>16</v>
      </c>
      <c r="N51" s="31" t="s">
        <v>63</v>
      </c>
      <c r="O51" s="40">
        <f>1-O49</f>
        <v>5.0000000000000044E-2</v>
      </c>
      <c r="P51" t="s">
        <v>66</v>
      </c>
      <c r="AC51" s="2"/>
    </row>
    <row r="52" spans="1:29">
      <c r="A52" s="1"/>
      <c r="B52" s="128"/>
      <c r="C52" s="128"/>
      <c r="D52" s="128"/>
      <c r="E52" s="128"/>
      <c r="F52" s="128"/>
      <c r="G52" s="128"/>
      <c r="H52" s="128"/>
      <c r="I52" s="128"/>
      <c r="J52" s="128"/>
      <c r="M52" s="31" t="s">
        <v>46</v>
      </c>
      <c r="N52" s="31" t="s">
        <v>45</v>
      </c>
      <c r="O52" s="34">
        <f>O47-1</f>
        <v>9</v>
      </c>
      <c r="P52" t="s">
        <v>45</v>
      </c>
    </row>
    <row r="53" spans="1:29">
      <c r="A53" s="1"/>
      <c r="B53" s="128"/>
      <c r="C53" s="128"/>
      <c r="D53" s="128"/>
      <c r="E53" s="128"/>
      <c r="F53" s="128"/>
      <c r="G53" s="128"/>
      <c r="H53" s="128"/>
      <c r="I53" s="128"/>
      <c r="J53" s="128"/>
      <c r="M53" s="2" t="s">
        <v>73</v>
      </c>
      <c r="N53" s="2" t="s">
        <v>10</v>
      </c>
      <c r="O53" s="32" t="str">
        <f>"mu"&amp;IF(O50="left"," &gt;= ",IF(O50="right"," &lt;= "," = "))&amp;O44</f>
        <v>mu &lt;= 60000</v>
      </c>
    </row>
    <row r="54" spans="1:29">
      <c r="A54" s="1"/>
      <c r="B54" s="128"/>
      <c r="C54" s="128"/>
      <c r="D54" s="128"/>
      <c r="E54" s="128"/>
      <c r="F54" s="128"/>
      <c r="G54" s="128"/>
      <c r="H54" s="128"/>
      <c r="I54" s="128"/>
      <c r="J54" s="128"/>
      <c r="M54" s="2" t="s">
        <v>72</v>
      </c>
      <c r="N54" s="2" t="s">
        <v>11</v>
      </c>
      <c r="O54" s="32" t="str">
        <f>"mu"&amp;IF(O50="left"," &lt; ",IF(O50="right"," &gt; "," != "))&amp;O44</f>
        <v>mu &gt; 60000</v>
      </c>
      <c r="AB54" s="2"/>
      <c r="AC54" s="20"/>
    </row>
    <row r="55" spans="1:29">
      <c r="A55" s="1"/>
      <c r="C55" s="1"/>
      <c r="AB55" s="2"/>
      <c r="AC55" s="20"/>
    </row>
    <row r="56" spans="1:29">
      <c r="A56" s="1"/>
      <c r="C56" s="1"/>
      <c r="K56" s="1" t="s">
        <v>67</v>
      </c>
      <c r="S56" s="1"/>
      <c r="T56" s="1"/>
      <c r="AC56" s="2"/>
    </row>
    <row r="57" spans="1:29">
      <c r="A57" s="1"/>
      <c r="C57" s="1"/>
      <c r="K57" s="1">
        <v>2</v>
      </c>
      <c r="L57" s="1" t="s">
        <v>79</v>
      </c>
    </row>
    <row r="58" spans="1:29">
      <c r="A58" s="1"/>
      <c r="B58" s="1"/>
      <c r="C58" s="1"/>
      <c r="N58" s="2" t="s">
        <v>49</v>
      </c>
      <c r="O58" s="3">
        <v>1.833</v>
      </c>
      <c r="P58" t="s">
        <v>91</v>
      </c>
    </row>
    <row r="59" spans="1:29">
      <c r="N59" s="2" t="s">
        <v>37</v>
      </c>
      <c r="O59" s="8">
        <f>0.5-(O51)</f>
        <v>0.44999999999999996</v>
      </c>
    </row>
    <row r="60" spans="1:29">
      <c r="B60" s="1"/>
      <c r="N60" s="31" t="str">
        <f>"Rejection Region"&amp;IF(LOWER(O50)="both"," Low","")</f>
        <v>Rejection Region</v>
      </c>
      <c r="O60" s="31" t="str">
        <f>IF(O50="left"," &lt; "&amp;-1*O58,IF(O50="right"," &gt; "&amp;1*O58," &lt; "&amp;-1*O58))</f>
        <v xml:space="preserve"> &gt; 1.833</v>
      </c>
    </row>
    <row r="61" spans="1:29">
      <c r="B61" s="1"/>
      <c r="N61" s="2" t="str">
        <f>IF(LOWER(O50)="both","Rejection Region High","")</f>
        <v/>
      </c>
      <c r="O61" s="2" t="str">
        <f>IF(O50="both"," &gt; "&amp;1*O58,"")</f>
        <v/>
      </c>
    </row>
    <row r="62" spans="1:29">
      <c r="B62" s="1"/>
    </row>
    <row r="63" spans="1:29">
      <c r="A63" s="1" t="s">
        <v>81</v>
      </c>
      <c r="K63" s="1">
        <v>3</v>
      </c>
      <c r="L63" s="27" t="s">
        <v>107</v>
      </c>
    </row>
    <row r="64" spans="1:29">
      <c r="B64" s="1" t="s">
        <v>1</v>
      </c>
      <c r="C64" s="35"/>
      <c r="L64" s="1" t="str">
        <f>"Reject the null hypothesis"&amp;" if "&amp;N65&amp;O60&amp;IF(O50="both"," or "&amp;N65&amp;" is "&amp;O61,"")</f>
        <v>Reject the null hypothesis if t &gt; 1.833</v>
      </c>
      <c r="O64" s="1"/>
    </row>
    <row r="65" spans="2:24">
      <c r="B65" t="str">
        <f>N53</f>
        <v>H0</v>
      </c>
      <c r="C65" s="35" t="str">
        <f>O53</f>
        <v>mu &lt;= 60000</v>
      </c>
      <c r="M65" s="2" t="s">
        <v>21</v>
      </c>
      <c r="N65" s="6" t="str">
        <f>IF(O45&lt;&gt;"","z","t")</f>
        <v>t</v>
      </c>
      <c r="O65" s="8">
        <f>(O46-O44)/(IF(O45&lt;&gt;"",O45,O48)/SQRT(O47))</f>
        <v>3.1622776601683795</v>
      </c>
    </row>
    <row r="66" spans="2:24">
      <c r="B66" t="str">
        <f>N54</f>
        <v>H1</v>
      </c>
      <c r="C66" s="35" t="str">
        <f>O54</f>
        <v>mu &gt; 60000</v>
      </c>
      <c r="M66" s="2" t="str">
        <f>ROUND(O65,4)&amp;O60</f>
        <v>3.1623 &gt; 1.833</v>
      </c>
      <c r="N66" s="2"/>
      <c r="O66" s="5" t="b">
        <v>1</v>
      </c>
    </row>
    <row r="67" spans="2:24">
      <c r="M67" s="2" t="str">
        <f>IF(O50&lt;&gt;"both","",ROUND(O65,4)&amp;O61)</f>
        <v/>
      </c>
      <c r="N67" s="2"/>
      <c r="O67" s="5"/>
    </row>
    <row r="68" spans="2:24">
      <c r="B68" s="1" t="s">
        <v>110</v>
      </c>
      <c r="L68" s="17"/>
      <c r="M68" s="17"/>
      <c r="N68" s="17"/>
    </row>
    <row r="69" spans="2:24">
      <c r="B69" t="str">
        <f>L64</f>
        <v>Reject the null hypothesis if t &gt; 1.833</v>
      </c>
      <c r="K69" s="1">
        <v>4</v>
      </c>
      <c r="L69" s="1" t="s">
        <v>108</v>
      </c>
      <c r="M69" s="9"/>
      <c r="N69" s="9"/>
      <c r="O69" s="9"/>
    </row>
    <row r="70" spans="2:24">
      <c r="B70" t="str">
        <f>L70</f>
        <v>Reject the null hypothesis if p-value is &lt; 0.05</v>
      </c>
      <c r="K70" s="9"/>
      <c r="L70" t="str">
        <f>"Reject the null hypothesis if p-value is &lt; "&amp;O51</f>
        <v>Reject the null hypothesis if p-value is &lt; 0.05</v>
      </c>
    </row>
    <row r="71" spans="2:24">
      <c r="K71" s="9"/>
      <c r="L71" s="9"/>
      <c r="M71" s="9"/>
      <c r="N71" s="31" t="s">
        <v>104</v>
      </c>
      <c r="O71" s="46">
        <f>ROUND(O65,3)</f>
        <v>3.1619999999999999</v>
      </c>
      <c r="P71" s="9"/>
      <c r="Q71" s="36"/>
      <c r="R71" s="36"/>
    </row>
    <row r="72" spans="2:24">
      <c r="B72" s="1" t="s">
        <v>3</v>
      </c>
      <c r="K72" s="9"/>
      <c r="L72" s="9"/>
      <c r="M72" s="9"/>
      <c r="N72" s="31" t="s">
        <v>45</v>
      </c>
      <c r="O72" s="47">
        <f>O52</f>
        <v>9</v>
      </c>
      <c r="P72" s="9"/>
      <c r="Q72" s="36"/>
      <c r="R72" s="36"/>
    </row>
    <row r="73" spans="2:24">
      <c r="B73" s="42">
        <f>O65</f>
        <v>3.1622776601683795</v>
      </c>
      <c r="L73" s="9"/>
      <c r="M73" s="17"/>
      <c r="N73" s="2" t="s">
        <v>105</v>
      </c>
      <c r="O73" s="48">
        <v>5.0000000000000001E-3</v>
      </c>
      <c r="P73" t="s">
        <v>91</v>
      </c>
      <c r="Q73" s="36"/>
      <c r="R73" s="36"/>
    </row>
    <row r="74" spans="2:24">
      <c r="N74" s="2" t="s">
        <v>106</v>
      </c>
      <c r="O74" s="33">
        <v>0.01</v>
      </c>
      <c r="P74" t="s">
        <v>91</v>
      </c>
      <c r="Q74" s="36"/>
      <c r="R74" s="36"/>
    </row>
    <row r="75" spans="2:24">
      <c r="B75" s="1" t="s">
        <v>4</v>
      </c>
      <c r="N75" s="31" t="s">
        <v>25</v>
      </c>
      <c r="O75" t="str">
        <f>ROUND(O73,3)&amp;" &lt; p-value &lt; "&amp;ROUND(O74,3)</f>
        <v>0.005 &lt; p-value &lt; 0.01</v>
      </c>
    </row>
    <row r="76" spans="2:24">
      <c r="B76" t="str">
        <f>M80</f>
        <v>Reject H0 (mu &lt;= 60000)</v>
      </c>
      <c r="N76" s="31" t="s">
        <v>63</v>
      </c>
      <c r="O76" s="25">
        <f>O51</f>
        <v>5.0000000000000044E-2</v>
      </c>
    </row>
    <row r="77" spans="2:24">
      <c r="B77" t="str">
        <f>M81</f>
        <v>Conclude that residents of Wilmington, Delaware, have more income than the national average</v>
      </c>
      <c r="N77" s="31" t="s">
        <v>109</v>
      </c>
      <c r="O77" s="2" t="b">
        <f>O74&lt;=O76</f>
        <v>1</v>
      </c>
    </row>
    <row r="78" spans="2:24">
      <c r="B78" s="1"/>
    </row>
    <row r="79" spans="2:24">
      <c r="B79" s="42"/>
      <c r="K79" s="1">
        <v>5</v>
      </c>
      <c r="L79" s="1" t="s">
        <v>69</v>
      </c>
    </row>
    <row r="80" spans="2:24">
      <c r="K80" s="1"/>
      <c r="L80" s="1"/>
      <c r="M80" s="34" t="str">
        <f>IFERROR(IF(O77,"Reject H0 ("&amp;O53&amp;")","Fail to reject H0 ("&amp;O53&amp;")"),"")</f>
        <v>Reject H0 (mu &lt;= 60000)</v>
      </c>
      <c r="U80" s="2"/>
      <c r="V80" s="28"/>
      <c r="W80" s="28"/>
      <c r="X80" s="28"/>
    </row>
    <row r="81" spans="1:29">
      <c r="K81" s="1"/>
      <c r="L81" s="1"/>
      <c r="M81" t="s">
        <v>111</v>
      </c>
      <c r="U81" s="2"/>
      <c r="V81" s="28"/>
      <c r="W81" s="28"/>
      <c r="X81" s="28"/>
    </row>
    <row r="82" spans="1:29">
      <c r="U82" s="2"/>
      <c r="V82" s="28"/>
      <c r="W82" s="28"/>
      <c r="X82" s="28"/>
    </row>
    <row r="83" spans="1:29">
      <c r="U83" s="2"/>
      <c r="V83" s="28"/>
      <c r="W83" s="28"/>
      <c r="X83" s="28"/>
    </row>
    <row r="84" spans="1:29">
      <c r="U84" s="2"/>
      <c r="V84" s="28"/>
      <c r="W84" s="28"/>
      <c r="X84" s="28"/>
    </row>
    <row r="85" spans="1:29">
      <c r="U85" s="2"/>
      <c r="V85" s="28"/>
      <c r="W85" s="28"/>
      <c r="X85" s="28"/>
    </row>
    <row r="86" spans="1:29">
      <c r="V86" s="28"/>
      <c r="W86" s="28"/>
      <c r="X86" s="28"/>
    </row>
    <row r="89" spans="1:29">
      <c r="A89" s="1" t="s">
        <v>80</v>
      </c>
      <c r="K89" s="1" t="str">
        <f>"Hypothesis Test with "&amp;IF(O92&lt;&gt;"","a ","an un")&amp;"known sigma"</f>
        <v>Hypothesis Test with an unknown sigma</v>
      </c>
      <c r="S89" s="1" t="s">
        <v>68</v>
      </c>
    </row>
    <row r="90" spans="1:29">
      <c r="A90" s="1" t="s">
        <v>50</v>
      </c>
      <c r="B90" s="128" t="s">
        <v>89</v>
      </c>
      <c r="C90" s="128"/>
      <c r="D90" s="128"/>
      <c r="E90" s="128"/>
      <c r="F90" s="128"/>
      <c r="G90" s="128"/>
      <c r="H90" s="128"/>
      <c r="I90" s="128"/>
      <c r="J90" s="128"/>
      <c r="K90" s="1">
        <v>1</v>
      </c>
      <c r="L90" s="1" t="s">
        <v>71</v>
      </c>
      <c r="S90" s="1">
        <v>2</v>
      </c>
      <c r="T90" s="1" t="s">
        <v>96</v>
      </c>
      <c r="Y90" s="1">
        <v>3</v>
      </c>
      <c r="Z90" s="1" t="s">
        <v>65</v>
      </c>
    </row>
    <row r="91" spans="1:29">
      <c r="A91" s="1"/>
      <c r="B91" s="128"/>
      <c r="C91" s="128"/>
      <c r="D91" s="128"/>
      <c r="E91" s="128"/>
      <c r="F91" s="128"/>
      <c r="G91" s="128"/>
      <c r="H91" s="128"/>
      <c r="I91" s="128"/>
      <c r="J91" s="128"/>
      <c r="M91" s="2" t="s">
        <v>18</v>
      </c>
      <c r="N91" s="2" t="s">
        <v>12</v>
      </c>
      <c r="O91" s="38">
        <v>1.4</v>
      </c>
      <c r="P91" t="s">
        <v>57</v>
      </c>
      <c r="U91" s="17" t="s">
        <v>51</v>
      </c>
      <c r="V91" s="1" t="s">
        <v>52</v>
      </c>
      <c r="AA91" s="2" t="s">
        <v>57</v>
      </c>
      <c r="AB91" s="4">
        <f>O91</f>
        <v>1.4</v>
      </c>
      <c r="AC91" t="s">
        <v>12</v>
      </c>
    </row>
    <row r="92" spans="1:29">
      <c r="A92" s="1"/>
      <c r="B92" s="128"/>
      <c r="C92" s="128"/>
      <c r="D92" s="128"/>
      <c r="E92" s="128"/>
      <c r="F92" s="128"/>
      <c r="G92" s="128"/>
      <c r="H92" s="128"/>
      <c r="I92" s="128"/>
      <c r="J92" s="128"/>
      <c r="M92" s="2" t="s">
        <v>19</v>
      </c>
      <c r="N92" s="2" t="s">
        <v>13</v>
      </c>
      <c r="O92" s="38"/>
      <c r="U92">
        <v>1.5</v>
      </c>
      <c r="V92">
        <v>0</v>
      </c>
      <c r="AA92" s="2" t="s">
        <v>16</v>
      </c>
      <c r="AB92" s="4">
        <f>O98</f>
        <v>5.0000000000000044E-2</v>
      </c>
      <c r="AC92" s="43" t="s">
        <v>66</v>
      </c>
    </row>
    <row r="93" spans="1:29">
      <c r="A93" s="1"/>
      <c r="B93" s="128"/>
      <c r="C93" s="128"/>
      <c r="D93" s="128"/>
      <c r="E93" s="128"/>
      <c r="F93" s="128"/>
      <c r="G93" s="128"/>
      <c r="H93" s="128"/>
      <c r="I93" s="128"/>
      <c r="J93" s="128"/>
      <c r="M93" s="2" t="s">
        <v>20</v>
      </c>
      <c r="N93" s="2" t="s">
        <v>14</v>
      </c>
      <c r="O93" s="38">
        <f>AVERAGE(C96:C105)</f>
        <v>1.6000000000000003</v>
      </c>
      <c r="P93" t="s">
        <v>54</v>
      </c>
      <c r="U93">
        <v>1.6</v>
      </c>
      <c r="V93">
        <v>0</v>
      </c>
    </row>
    <row r="94" spans="1:29">
      <c r="A94" s="1"/>
      <c r="D94" s="1"/>
      <c r="M94" s="2" t="s">
        <v>22</v>
      </c>
      <c r="N94" s="2" t="s">
        <v>15</v>
      </c>
      <c r="O94" s="38">
        <f>COUNT(C96:C105)</f>
        <v>10</v>
      </c>
      <c r="P94" t="s">
        <v>56</v>
      </c>
      <c r="U94">
        <v>1.5</v>
      </c>
      <c r="AA94" s="1">
        <v>5</v>
      </c>
      <c r="AB94" s="1" t="s">
        <v>69</v>
      </c>
    </row>
    <row r="95" spans="1:29">
      <c r="A95" s="1"/>
      <c r="C95" s="1" t="s">
        <v>51</v>
      </c>
      <c r="M95" s="2" t="s">
        <v>42</v>
      </c>
      <c r="N95" s="2" t="s">
        <v>43</v>
      </c>
      <c r="O95" s="49">
        <f>_xlfn.STDEV.S(C96:C105)</f>
        <v>0.21602468994692456</v>
      </c>
      <c r="U95">
        <v>1.4</v>
      </c>
      <c r="AB95" t="str">
        <f>U131&amp;" &lt; "&amp;AC92</f>
        <v>p-value &lt; Alpha</v>
      </c>
    </row>
    <row r="96" spans="1:29">
      <c r="A96" s="1"/>
      <c r="C96" s="1">
        <v>1.5</v>
      </c>
      <c r="M96" s="2" t="s">
        <v>23</v>
      </c>
      <c r="O96" s="38">
        <v>0.95</v>
      </c>
      <c r="U96">
        <v>1.9</v>
      </c>
      <c r="AB96" s="2" t="s">
        <v>25</v>
      </c>
      <c r="AC96" s="20">
        <f>VLOOKUP(AB96,U125:W134,3,FALSE)</f>
        <v>8.4099018161283654E-3</v>
      </c>
    </row>
    <row r="97" spans="1:29">
      <c r="A97" s="1"/>
      <c r="C97" s="1">
        <v>1.6</v>
      </c>
      <c r="M97" s="2" t="s">
        <v>35</v>
      </c>
      <c r="O97" s="38" t="s">
        <v>44</v>
      </c>
      <c r="U97">
        <v>1.4</v>
      </c>
      <c r="AB97" s="2" t="s">
        <v>63</v>
      </c>
      <c r="AC97" s="20">
        <f>AB92</f>
        <v>5.0000000000000044E-2</v>
      </c>
    </row>
    <row r="98" spans="1:29">
      <c r="A98" s="1"/>
      <c r="C98" s="1">
        <v>1.5</v>
      </c>
      <c r="M98" s="31" t="s">
        <v>16</v>
      </c>
      <c r="N98" s="31" t="s">
        <v>63</v>
      </c>
      <c r="O98" s="40">
        <f>1-O96</f>
        <v>5.0000000000000044E-2</v>
      </c>
      <c r="P98" t="s">
        <v>66</v>
      </c>
      <c r="U98">
        <v>1.3</v>
      </c>
      <c r="AB98" t="b">
        <f>AC96&lt;AC97</f>
        <v>1</v>
      </c>
      <c r="AC98" s="2" t="str">
        <f>IF(NOT(AB98),"fail to ","")&amp;"reject H0"</f>
        <v>reject H0</v>
      </c>
    </row>
    <row r="99" spans="1:29">
      <c r="A99" s="1"/>
      <c r="C99" s="1">
        <v>1.4</v>
      </c>
      <c r="M99" s="31" t="s">
        <v>46</v>
      </c>
      <c r="N99" s="31" t="s">
        <v>45</v>
      </c>
      <c r="O99" s="34">
        <f>O94-1</f>
        <v>9</v>
      </c>
      <c r="P99" t="s">
        <v>45</v>
      </c>
      <c r="U99">
        <v>1.9</v>
      </c>
    </row>
    <row r="100" spans="1:29">
      <c r="A100" s="1"/>
      <c r="C100" s="1">
        <v>1.9</v>
      </c>
      <c r="M100" s="2" t="s">
        <v>73</v>
      </c>
      <c r="N100" s="2" t="s">
        <v>10</v>
      </c>
      <c r="O100" s="32" t="str">
        <f>"mu"&amp;IF(O97="left"," &gt;= ",IF(O97="right"," &lt;= "," = "))&amp;O91</f>
        <v>mu &lt;= 1.4</v>
      </c>
      <c r="U100">
        <v>1.8</v>
      </c>
      <c r="AB100" t="str">
        <f>AB101&amp;IF(O97="right"," &gt; "," &lt; ")&amp;AB102</f>
        <v>test statistic &gt; critical value</v>
      </c>
    </row>
    <row r="101" spans="1:29">
      <c r="A101" s="1"/>
      <c r="C101" s="1">
        <v>1.4</v>
      </c>
      <c r="M101" s="2" t="s">
        <v>72</v>
      </c>
      <c r="N101" s="2" t="s">
        <v>11</v>
      </c>
      <c r="O101" s="32" t="str">
        <f>"mu"&amp;IF(O97="left"," &lt; ",IF(O97="right"," &gt; "," != "))&amp;O91</f>
        <v>mu &gt; 1.4</v>
      </c>
      <c r="U101">
        <v>1.7</v>
      </c>
      <c r="AB101" s="2" t="s">
        <v>21</v>
      </c>
      <c r="AC101" s="20">
        <f>VLOOKUP(AB101,U125:W134,3,FALSE)</f>
        <v>2.9277002188456613</v>
      </c>
    </row>
    <row r="102" spans="1:29">
      <c r="A102" s="1"/>
      <c r="C102" s="1">
        <v>1.3</v>
      </c>
      <c r="AB102" s="2" t="s">
        <v>74</v>
      </c>
      <c r="AC102" s="20">
        <f>VLOOKUP(AB102,U125:W134,3,FALSE)</f>
        <v>2.8214379250258084</v>
      </c>
    </row>
    <row r="103" spans="1:29">
      <c r="A103" s="1"/>
      <c r="C103" s="1">
        <v>1.9</v>
      </c>
      <c r="K103" s="1" t="s">
        <v>67</v>
      </c>
      <c r="S103" s="1">
        <v>4</v>
      </c>
      <c r="T103" s="1" t="s">
        <v>64</v>
      </c>
      <c r="AB103" t="b">
        <f>IF(O97="right",AC101&gt;AC102,NOT(AC101&gt;AC102))</f>
        <v>1</v>
      </c>
      <c r="AC103" s="2" t="str">
        <f>IF(NOT(AB103),"fail to ","")&amp;"reject H0"</f>
        <v>reject H0</v>
      </c>
    </row>
    <row r="104" spans="1:29">
      <c r="A104" s="1"/>
      <c r="C104" s="1">
        <v>1.8</v>
      </c>
      <c r="K104" s="1">
        <v>2</v>
      </c>
      <c r="L104" s="1" t="s">
        <v>79</v>
      </c>
    </row>
    <row r="105" spans="1:29">
      <c r="A105" s="1"/>
      <c r="B105" s="1"/>
      <c r="C105" s="1">
        <v>1.7</v>
      </c>
      <c r="N105" s="2" t="s">
        <v>49</v>
      </c>
      <c r="O105" s="3">
        <v>1.833</v>
      </c>
      <c r="P105" t="s">
        <v>91</v>
      </c>
    </row>
    <row r="106" spans="1:29">
      <c r="N106" s="2" t="s">
        <v>37</v>
      </c>
      <c r="O106" s="8">
        <f>0.5-(O98)</f>
        <v>0.44999999999999996</v>
      </c>
    </row>
    <row r="107" spans="1:29">
      <c r="B107" s="1" t="s">
        <v>76</v>
      </c>
      <c r="N107" s="31" t="str">
        <f>"Rejection Region"&amp;IF(LOWER(O97)="both"," Low","")</f>
        <v>Rejection Region</v>
      </c>
      <c r="O107" s="31" t="str">
        <f>IF(O97="left"," &lt; "&amp;-1*O105,IF(O97="right"," &gt; "&amp;1*O105," &lt; "&amp;-1*O105))</f>
        <v xml:space="preserve"> &gt; 1.833</v>
      </c>
    </row>
    <row r="108" spans="1:29">
      <c r="B108" s="1" t="s">
        <v>77</v>
      </c>
      <c r="N108" s="2" t="str">
        <f>IF(LOWER(O97)="both","Rejection Region High","")</f>
        <v/>
      </c>
      <c r="O108" s="2" t="str">
        <f>IF(O97="both"," &gt; "&amp;1*O105,"")</f>
        <v/>
      </c>
    </row>
    <row r="109" spans="1:29">
      <c r="B109" s="1"/>
    </row>
    <row r="110" spans="1:29">
      <c r="A110" s="1" t="s">
        <v>81</v>
      </c>
      <c r="K110" s="1">
        <v>3</v>
      </c>
      <c r="L110" s="27" t="s">
        <v>107</v>
      </c>
    </row>
    <row r="111" spans="1:29">
      <c r="B111" s="1" t="s">
        <v>1</v>
      </c>
      <c r="C111" s="35"/>
      <c r="L111" s="1" t="str">
        <f>"Reject the null hypothesis"&amp;" if "&amp;N112&amp;O107&amp;IF(O97="both"," or "&amp;N112&amp;" is "&amp;O108,"")</f>
        <v>Reject the null hypothesis if t &gt; 1.833</v>
      </c>
      <c r="O111" s="1"/>
    </row>
    <row r="112" spans="1:29">
      <c r="B112" s="2" t="str">
        <f>N100</f>
        <v>H0</v>
      </c>
      <c r="C112" s="35" t="str">
        <f>O100</f>
        <v>mu &lt;= 1.4</v>
      </c>
      <c r="M112" s="2" t="s">
        <v>21</v>
      </c>
      <c r="N112" s="6" t="str">
        <f>IF(O92&lt;&gt;"","z","t")</f>
        <v>t</v>
      </c>
      <c r="O112" s="8">
        <f>(O93-O91)/(IF(O92&lt;&gt;"",O92,O95)/SQRT(O94))</f>
        <v>2.9277002188456613</v>
      </c>
    </row>
    <row r="113" spans="2:24">
      <c r="B113" s="2" t="str">
        <f>N101</f>
        <v>H1</v>
      </c>
      <c r="C113" s="35" t="str">
        <f>O101</f>
        <v>mu &gt; 1.4</v>
      </c>
      <c r="M113" s="2" t="str">
        <f>ROUND(O112,4)&amp;O107</f>
        <v>2.9277 &gt; 1.833</v>
      </c>
      <c r="N113" s="2"/>
      <c r="O113" s="5" t="b">
        <v>1</v>
      </c>
    </row>
    <row r="114" spans="2:24">
      <c r="M114" s="2" t="str">
        <f>IF(O97&lt;&gt;"both","",ROUND(O112,4)&amp;O108)</f>
        <v/>
      </c>
      <c r="N114" s="2"/>
      <c r="O114" s="5"/>
    </row>
    <row r="115" spans="2:24">
      <c r="B115" s="1" t="s">
        <v>110</v>
      </c>
      <c r="L115" s="17"/>
      <c r="M115" s="17"/>
      <c r="N115" s="17"/>
    </row>
    <row r="116" spans="2:24">
      <c r="B116" t="str">
        <f>L111</f>
        <v>Reject the null hypothesis if t &gt; 1.833</v>
      </c>
      <c r="K116" s="1">
        <v>4</v>
      </c>
      <c r="L116" s="1" t="s">
        <v>108</v>
      </c>
      <c r="M116" s="9"/>
      <c r="N116" s="9"/>
      <c r="O116" s="9"/>
    </row>
    <row r="117" spans="2:24">
      <c r="B117" t="str">
        <f>L117</f>
        <v>Reject the null hypothesis if p-value is &lt; 0.05</v>
      </c>
      <c r="K117" s="9"/>
      <c r="L117" t="str">
        <f>"Reject the null hypothesis if p-value is &lt; "&amp;O98</f>
        <v>Reject the null hypothesis if p-value is &lt; 0.05</v>
      </c>
    </row>
    <row r="118" spans="2:24">
      <c r="K118" s="9"/>
      <c r="L118" s="9"/>
      <c r="M118" s="9"/>
      <c r="N118" s="31" t="s">
        <v>104</v>
      </c>
      <c r="O118" s="46">
        <f>ROUND(O112,3)</f>
        <v>2.9279999999999999</v>
      </c>
      <c r="P118" s="9"/>
      <c r="Q118" s="36"/>
      <c r="R118" s="36"/>
    </row>
    <row r="119" spans="2:24">
      <c r="B119" s="1" t="s">
        <v>3</v>
      </c>
      <c r="K119" s="9"/>
      <c r="L119" s="9"/>
      <c r="M119" s="9"/>
      <c r="N119" s="31" t="s">
        <v>45</v>
      </c>
      <c r="O119" s="47">
        <f>O99</f>
        <v>9</v>
      </c>
      <c r="P119" s="9"/>
      <c r="Q119" s="36"/>
      <c r="R119" s="36"/>
    </row>
    <row r="120" spans="2:24">
      <c r="B120" s="42">
        <f>O112</f>
        <v>2.9277002188456613</v>
      </c>
      <c r="L120" s="9"/>
      <c r="M120" s="17"/>
      <c r="N120" s="2" t="s">
        <v>105</v>
      </c>
      <c r="O120" s="48">
        <v>5.0000000000000001E-3</v>
      </c>
      <c r="P120" t="s">
        <v>91</v>
      </c>
      <c r="Q120" s="36"/>
      <c r="R120" s="36"/>
    </row>
    <row r="121" spans="2:24">
      <c r="N121" s="2" t="s">
        <v>106</v>
      </c>
      <c r="O121" s="33">
        <v>0.01</v>
      </c>
      <c r="P121" t="s">
        <v>91</v>
      </c>
      <c r="Q121" s="36"/>
      <c r="R121" s="36"/>
    </row>
    <row r="122" spans="2:24">
      <c r="B122" s="1" t="s">
        <v>4</v>
      </c>
      <c r="N122" s="31" t="s">
        <v>25</v>
      </c>
      <c r="O122" t="str">
        <f>ROUND(O120,3)&amp;" &lt; p-value &lt; "&amp;ROUND(O121,3)</f>
        <v>0.005 &lt; p-value &lt; 0.01</v>
      </c>
      <c r="V122" t="s">
        <v>53</v>
      </c>
    </row>
    <row r="123" spans="2:24" ht="12.75" thickBot="1">
      <c r="B123" t="str">
        <f>M127</f>
        <v>Reject H0 (mu &lt;= 1.4)</v>
      </c>
      <c r="N123" s="31" t="s">
        <v>63</v>
      </c>
      <c r="O123" s="25">
        <f>O98</f>
        <v>5.0000000000000044E-2</v>
      </c>
    </row>
    <row r="124" spans="2:24">
      <c r="B124" t="str">
        <f>M128</f>
        <v>Conclude that water consumption has increased</v>
      </c>
      <c r="N124" s="31" t="s">
        <v>109</v>
      </c>
      <c r="O124" s="2" t="b">
        <f>O121&lt;=O123</f>
        <v>1</v>
      </c>
      <c r="V124" s="30"/>
      <c r="W124" s="30" t="s">
        <v>51</v>
      </c>
      <c r="X124" s="30" t="s">
        <v>52</v>
      </c>
    </row>
    <row r="125" spans="2:24">
      <c r="U125" s="2" t="s">
        <v>14</v>
      </c>
      <c r="V125" s="28" t="s">
        <v>54</v>
      </c>
      <c r="W125" s="28">
        <v>1.6000000000000003</v>
      </c>
      <c r="X125" s="28">
        <v>0</v>
      </c>
    </row>
    <row r="126" spans="2:24">
      <c r="B126" s="1" t="s">
        <v>5</v>
      </c>
      <c r="K126" s="1">
        <v>5</v>
      </c>
      <c r="L126" s="1" t="s">
        <v>69</v>
      </c>
      <c r="U126" s="2" t="s">
        <v>75</v>
      </c>
      <c r="V126" s="28" t="s">
        <v>55</v>
      </c>
      <c r="W126" s="28">
        <v>4.6666666666664885E-2</v>
      </c>
      <c r="X126" s="28">
        <v>0</v>
      </c>
    </row>
    <row r="127" spans="2:24">
      <c r="B127" s="42">
        <f>AC96</f>
        <v>8.4099018161283654E-3</v>
      </c>
      <c r="C127" t="str">
        <f>IF(B127&lt;&gt;"","If H0 is true, the probability of finding a sample mean this extreme is "&amp;ROUND(B127,4),"")</f>
        <v>If H0 is true, the probability of finding a sample mean this extreme is 0.0084</v>
      </c>
      <c r="K127" s="1"/>
      <c r="L127" s="1"/>
      <c r="M127" s="34" t="str">
        <f>IFERROR(IF(O124,"Reject H0 ("&amp;O100&amp;")","Fail to reject H0 ("&amp;O100&amp;")"),"")</f>
        <v>Reject H0 (mu &lt;= 1.4)</v>
      </c>
      <c r="U127" s="2" t="s">
        <v>15</v>
      </c>
      <c r="V127" s="28" t="s">
        <v>56</v>
      </c>
      <c r="W127" s="28">
        <v>10</v>
      </c>
      <c r="X127" s="28">
        <v>2</v>
      </c>
    </row>
    <row r="128" spans="2:24">
      <c r="K128" s="1"/>
      <c r="L128" s="1"/>
      <c r="M128" t="s">
        <v>83</v>
      </c>
      <c r="U128" s="2" t="s">
        <v>12</v>
      </c>
      <c r="V128" s="28" t="s">
        <v>57</v>
      </c>
      <c r="W128" s="28">
        <v>1.4</v>
      </c>
      <c r="X128" s="28"/>
    </row>
    <row r="129" spans="1:29">
      <c r="B129" s="7"/>
      <c r="U129" s="2" t="s">
        <v>45</v>
      </c>
      <c r="V129" s="28" t="s">
        <v>45</v>
      </c>
      <c r="W129" s="28">
        <v>9</v>
      </c>
      <c r="X129" s="28"/>
    </row>
    <row r="130" spans="1:29">
      <c r="U130" s="2" t="s">
        <v>21</v>
      </c>
      <c r="V130" s="28" t="s">
        <v>58</v>
      </c>
      <c r="W130" s="28">
        <v>2.9277002188456613</v>
      </c>
      <c r="X130" s="28"/>
    </row>
    <row r="131" spans="1:29">
      <c r="U131" s="2" t="str">
        <f>IF(O97="both","","p-value")</f>
        <v>p-value</v>
      </c>
      <c r="V131" s="28" t="s">
        <v>59</v>
      </c>
      <c r="W131" s="28">
        <v>8.4099018161283654E-3</v>
      </c>
      <c r="X131" s="28"/>
    </row>
    <row r="132" spans="1:29">
      <c r="U132" s="2" t="str">
        <f>IF(O97="both","","critical value")</f>
        <v>critical value</v>
      </c>
      <c r="V132" s="28" t="s">
        <v>60</v>
      </c>
      <c r="W132" s="28">
        <v>2.8214379250258084</v>
      </c>
      <c r="X132" s="28"/>
    </row>
    <row r="133" spans="1:29">
      <c r="U133" t="str">
        <f>IF(NOT(O97="both"),"","p-value")</f>
        <v/>
      </c>
      <c r="V133" s="28" t="s">
        <v>61</v>
      </c>
      <c r="W133" s="28">
        <v>1.6819803632256731E-2</v>
      </c>
      <c r="X133" s="28"/>
    </row>
    <row r="134" spans="1:29" ht="12.75" thickBot="1">
      <c r="U134" t="str">
        <f>IF(NOT(O97="both"),"","critical value")</f>
        <v/>
      </c>
      <c r="V134" s="29" t="s">
        <v>62</v>
      </c>
      <c r="W134" s="29">
        <v>3.2498355415921263</v>
      </c>
      <c r="X134" s="29"/>
    </row>
    <row r="136" spans="1:29">
      <c r="A136" s="1" t="s">
        <v>80</v>
      </c>
      <c r="K136" s="1" t="str">
        <f>"Hypothesis Test with "&amp;IF(O139&lt;&gt;"","a ","an un")&amp;"known sigma"</f>
        <v>Hypothesis Test with an unknown sigma</v>
      </c>
      <c r="S136" s="1" t="s">
        <v>68</v>
      </c>
    </row>
    <row r="137" spans="1:29">
      <c r="A137" s="1" t="s">
        <v>92</v>
      </c>
      <c r="B137" s="128" t="s">
        <v>93</v>
      </c>
      <c r="C137" s="128"/>
      <c r="D137" s="128"/>
      <c r="E137" s="128"/>
      <c r="F137" s="128"/>
      <c r="G137" s="128"/>
      <c r="H137" s="128"/>
      <c r="I137" s="128"/>
      <c r="J137" s="128"/>
      <c r="K137" s="1">
        <v>1</v>
      </c>
      <c r="L137" s="1" t="s">
        <v>71</v>
      </c>
      <c r="S137" s="1">
        <v>2</v>
      </c>
      <c r="T137" s="1" t="s">
        <v>96</v>
      </c>
      <c r="Y137" s="1">
        <v>3</v>
      </c>
      <c r="Z137" s="1" t="s">
        <v>65</v>
      </c>
    </row>
    <row r="138" spans="1:29">
      <c r="A138" s="1"/>
      <c r="B138" s="128"/>
      <c r="C138" s="128"/>
      <c r="D138" s="128"/>
      <c r="E138" s="128"/>
      <c r="F138" s="128"/>
      <c r="G138" s="128"/>
      <c r="H138" s="128"/>
      <c r="I138" s="128"/>
      <c r="J138" s="128"/>
      <c r="M138" s="2" t="s">
        <v>18</v>
      </c>
      <c r="N138" s="2" t="s">
        <v>12</v>
      </c>
      <c r="O138" s="38">
        <v>67</v>
      </c>
      <c r="P138" t="s">
        <v>57</v>
      </c>
      <c r="U138" s="17" t="s">
        <v>95</v>
      </c>
      <c r="V138" s="1" t="s">
        <v>52</v>
      </c>
      <c r="AA138" s="2" t="s">
        <v>57</v>
      </c>
      <c r="AB138" s="4">
        <f>O138</f>
        <v>67</v>
      </c>
      <c r="AC138" t="s">
        <v>12</v>
      </c>
    </row>
    <row r="139" spans="1:29">
      <c r="A139" s="1"/>
      <c r="B139" s="128"/>
      <c r="C139" s="128"/>
      <c r="D139" s="128"/>
      <c r="E139" s="128"/>
      <c r="F139" s="128"/>
      <c r="G139" s="128"/>
      <c r="H139" s="128"/>
      <c r="I139" s="128"/>
      <c r="J139" s="128"/>
      <c r="M139" s="2" t="s">
        <v>19</v>
      </c>
      <c r="N139" s="2" t="s">
        <v>13</v>
      </c>
      <c r="O139" s="38"/>
      <c r="U139">
        <v>51</v>
      </c>
      <c r="V139">
        <v>0</v>
      </c>
      <c r="AA139" s="2" t="s">
        <v>16</v>
      </c>
      <c r="AB139" s="4">
        <f>O145</f>
        <v>5.0000000000000044E-2</v>
      </c>
      <c r="AC139" s="43" t="s">
        <v>66</v>
      </c>
    </row>
    <row r="140" spans="1:29">
      <c r="A140" s="1"/>
      <c r="B140" s="128"/>
      <c r="C140" s="128"/>
      <c r="D140" s="128"/>
      <c r="E140" s="128"/>
      <c r="F140" s="128"/>
      <c r="G140" s="128"/>
      <c r="H140" s="128"/>
      <c r="I140" s="128"/>
      <c r="J140" s="128"/>
      <c r="M140" s="2" t="s">
        <v>20</v>
      </c>
      <c r="N140" s="2" t="s">
        <v>14</v>
      </c>
      <c r="O140" s="38">
        <f>AVERAGE(C143:C154)</f>
        <v>82.5</v>
      </c>
      <c r="P140" t="s">
        <v>54</v>
      </c>
      <c r="U140">
        <v>175</v>
      </c>
      <c r="V140">
        <v>0</v>
      </c>
    </row>
    <row r="141" spans="1:29">
      <c r="A141" s="1"/>
      <c r="D141" s="1"/>
      <c r="M141" s="2" t="s">
        <v>22</v>
      </c>
      <c r="N141" s="2" t="s">
        <v>15</v>
      </c>
      <c r="O141" s="38">
        <f>COUNT(C143:C154)</f>
        <v>12</v>
      </c>
      <c r="P141" t="s">
        <v>56</v>
      </c>
      <c r="U141">
        <v>47</v>
      </c>
      <c r="AA141" s="1">
        <v>5</v>
      </c>
      <c r="AB141" s="1" t="s">
        <v>69</v>
      </c>
    </row>
    <row r="142" spans="1:29">
      <c r="A142" s="1"/>
      <c r="C142" s="1" t="s">
        <v>95</v>
      </c>
      <c r="M142" s="2" t="s">
        <v>42</v>
      </c>
      <c r="N142" s="2" t="s">
        <v>43</v>
      </c>
      <c r="O142" s="49">
        <f>_xlfn.STDEV.S(C143:C154)</f>
        <v>59.492551099811116</v>
      </c>
      <c r="U142">
        <v>49</v>
      </c>
      <c r="AB142" t="str">
        <f>U180&amp;" &lt; "&amp;AC139</f>
        <v>p-value &lt; Alpha</v>
      </c>
    </row>
    <row r="143" spans="1:29">
      <c r="A143" s="1"/>
      <c r="C143" s="1">
        <v>51</v>
      </c>
      <c r="M143" s="2" t="s">
        <v>23</v>
      </c>
      <c r="O143" s="38">
        <v>0.95</v>
      </c>
      <c r="U143">
        <v>44</v>
      </c>
      <c r="AB143" s="2" t="s">
        <v>25</v>
      </c>
      <c r="AC143" s="20">
        <f>VLOOKUP(AB143,U174:W183,3,FALSE)</f>
        <v>0.19305705517763116</v>
      </c>
    </row>
    <row r="144" spans="1:29">
      <c r="A144" s="1"/>
      <c r="C144" s="1">
        <v>175</v>
      </c>
      <c r="M144" s="2" t="s">
        <v>35</v>
      </c>
      <c r="O144" s="38" t="s">
        <v>44</v>
      </c>
      <c r="U144">
        <v>54</v>
      </c>
      <c r="AB144" s="2" t="s">
        <v>63</v>
      </c>
      <c r="AC144" s="20">
        <f>AB139</f>
        <v>5.0000000000000044E-2</v>
      </c>
    </row>
    <row r="145" spans="1:29">
      <c r="A145" s="1"/>
      <c r="C145" s="1">
        <v>47</v>
      </c>
      <c r="M145" s="31" t="s">
        <v>16</v>
      </c>
      <c r="N145" s="31" t="s">
        <v>63</v>
      </c>
      <c r="O145" s="40">
        <f>1-O143</f>
        <v>5.0000000000000044E-2</v>
      </c>
      <c r="P145" t="s">
        <v>66</v>
      </c>
      <c r="U145">
        <v>145</v>
      </c>
      <c r="AB145" t="b">
        <f>AC143&lt;AC144</f>
        <v>0</v>
      </c>
      <c r="AC145" s="2" t="str">
        <f>IF(NOT(AB145),"fail to ","")&amp;"reject H0"</f>
        <v>fail to reject H0</v>
      </c>
    </row>
    <row r="146" spans="1:29">
      <c r="A146" s="1"/>
      <c r="C146" s="1">
        <v>49</v>
      </c>
      <c r="M146" s="31" t="s">
        <v>46</v>
      </c>
      <c r="N146" s="31" t="s">
        <v>45</v>
      </c>
      <c r="O146" s="34">
        <f>O141-1</f>
        <v>11</v>
      </c>
      <c r="P146" t="s">
        <v>45</v>
      </c>
      <c r="U146">
        <v>203</v>
      </c>
    </row>
    <row r="147" spans="1:29">
      <c r="A147" s="1"/>
      <c r="C147" s="1">
        <v>44</v>
      </c>
      <c r="M147" s="2" t="s">
        <v>73</v>
      </c>
      <c r="N147" s="2" t="s">
        <v>10</v>
      </c>
      <c r="O147" s="32" t="str">
        <f>"mu"&amp;IF(O144="left"," &gt;= ",IF(O144="right"," &lt;= "," = "))&amp;O138</f>
        <v>mu &lt;= 67</v>
      </c>
      <c r="U147">
        <v>21</v>
      </c>
      <c r="AB147" t="str">
        <f>AB148&amp;IF(O144="right"," &gt; "," &lt; ")&amp;AB149</f>
        <v>test statistic &gt; critical value</v>
      </c>
    </row>
    <row r="148" spans="1:29">
      <c r="A148" s="1"/>
      <c r="C148" s="1">
        <v>54</v>
      </c>
      <c r="M148" s="2" t="s">
        <v>72</v>
      </c>
      <c r="N148" s="2" t="s">
        <v>11</v>
      </c>
      <c r="O148" s="32" t="str">
        <f>"mu"&amp;IF(O144="left"," &lt; ",IF(O144="right"," &gt; "," != "))&amp;O138</f>
        <v>mu &gt; 67</v>
      </c>
      <c r="U148">
        <v>59</v>
      </c>
      <c r="AB148" s="2" t="s">
        <v>21</v>
      </c>
      <c r="AC148" s="20">
        <f>VLOOKUP(AB148,U174:W183,3,FALSE)</f>
        <v>0.90252601446781255</v>
      </c>
    </row>
    <row r="149" spans="1:29">
      <c r="A149" s="1"/>
      <c r="C149" s="1">
        <v>145</v>
      </c>
      <c r="U149">
        <v>42</v>
      </c>
      <c r="AB149" s="2" t="s">
        <v>74</v>
      </c>
      <c r="AC149" s="20">
        <f>VLOOKUP(AB149,U174:W183,3,FALSE)</f>
        <v>1.7958848187040437</v>
      </c>
    </row>
    <row r="150" spans="1:29">
      <c r="A150" s="1"/>
      <c r="C150" s="1">
        <v>203</v>
      </c>
      <c r="K150" s="1" t="s">
        <v>67</v>
      </c>
      <c r="U150">
        <v>100</v>
      </c>
      <c r="AB150" t="b">
        <f>IF(O144="right",AC148&gt;AC149,NOT(AC148&gt;AC149))</f>
        <v>0</v>
      </c>
      <c r="AC150" s="2" t="str">
        <f>IF(NOT(AB150),"fail to ","")&amp;"reject H0"</f>
        <v>fail to reject H0</v>
      </c>
    </row>
    <row r="151" spans="1:29">
      <c r="A151" s="1"/>
      <c r="C151" s="1">
        <v>21</v>
      </c>
      <c r="K151" s="1">
        <v>2</v>
      </c>
      <c r="L151" s="1" t="s">
        <v>79</v>
      </c>
    </row>
    <row r="152" spans="1:29">
      <c r="A152" s="1"/>
      <c r="B152" s="1"/>
      <c r="C152" s="1">
        <v>59</v>
      </c>
      <c r="N152" s="2" t="s">
        <v>49</v>
      </c>
      <c r="O152" s="3">
        <v>1.796</v>
      </c>
      <c r="P152" t="s">
        <v>91</v>
      </c>
      <c r="S152" s="1">
        <v>4</v>
      </c>
      <c r="T152" s="1" t="s">
        <v>64</v>
      </c>
    </row>
    <row r="153" spans="1:29">
      <c r="C153" s="1">
        <v>42</v>
      </c>
      <c r="N153" s="2" t="s">
        <v>37</v>
      </c>
      <c r="O153" s="8">
        <f>0.5-(O145)</f>
        <v>0.44999999999999996</v>
      </c>
    </row>
    <row r="154" spans="1:29">
      <c r="C154" s="1">
        <v>100</v>
      </c>
      <c r="N154" s="31" t="str">
        <f>"Rejection Region"&amp;IF(LOWER(O144)="both"," Low","")</f>
        <v>Rejection Region</v>
      </c>
      <c r="O154" s="31" t="str">
        <f>IF(O144="left"," &lt; "&amp;-1*O152,IF(O144="right"," &gt; "&amp;1*O152," &lt; "&amp;-1*O152))</f>
        <v xml:space="preserve"> &gt; 1.796</v>
      </c>
    </row>
    <row r="155" spans="1:29">
      <c r="N155" s="2" t="str">
        <f>IF(LOWER(O144)="both","Rejection Region High","")</f>
        <v/>
      </c>
      <c r="O155" s="2" t="str">
        <f>IF(O144="both"," &gt; "&amp;1*O152,"")</f>
        <v/>
      </c>
    </row>
    <row r="156" spans="1:29">
      <c r="B156" s="128" t="s">
        <v>94</v>
      </c>
      <c r="C156" s="128"/>
      <c r="D156" s="128"/>
      <c r="E156" s="128"/>
      <c r="F156" s="128"/>
      <c r="G156" s="128"/>
      <c r="H156" s="128"/>
      <c r="I156" s="128"/>
      <c r="J156" s="128"/>
    </row>
    <row r="157" spans="1:29">
      <c r="B157" s="128"/>
      <c r="C157" s="128"/>
      <c r="D157" s="128"/>
      <c r="E157" s="128"/>
      <c r="F157" s="128"/>
      <c r="G157" s="128"/>
      <c r="H157" s="128"/>
      <c r="I157" s="128"/>
      <c r="J157" s="128"/>
      <c r="K157" s="1">
        <v>3</v>
      </c>
      <c r="L157" s="27" t="s">
        <v>107</v>
      </c>
    </row>
    <row r="158" spans="1:29">
      <c r="B158" s="1"/>
      <c r="L158" s="1" t="str">
        <f>"Reject the null hypothesis"&amp;" if "&amp;N159&amp;O154&amp;IF(O144="both"," or "&amp;N159&amp;" is "&amp;O155,"")</f>
        <v>Reject the null hypothesis if t &gt; 1.796</v>
      </c>
      <c r="O158" s="1"/>
    </row>
    <row r="159" spans="1:29">
      <c r="A159" s="1" t="s">
        <v>81</v>
      </c>
      <c r="M159" s="2" t="s">
        <v>21</v>
      </c>
      <c r="N159" s="6" t="str">
        <f>IF(O139&lt;&gt;"","z","t")</f>
        <v>t</v>
      </c>
      <c r="O159" s="8">
        <f>(O140-O138)/(IF(O139&lt;&gt;"",O139,O142)/SQRT(O141))</f>
        <v>0.90252601446781233</v>
      </c>
    </row>
    <row r="160" spans="1:29">
      <c r="B160" s="1" t="s">
        <v>1</v>
      </c>
      <c r="C160" s="35"/>
      <c r="M160" s="2" t="str">
        <f>ROUND(O159,4)&amp;O154</f>
        <v>0.9025 &gt; 1.796</v>
      </c>
      <c r="N160" s="2"/>
      <c r="O160" s="5" t="b">
        <v>0</v>
      </c>
    </row>
    <row r="161" spans="2:24">
      <c r="B161" t="str">
        <f>N147</f>
        <v>H0</v>
      </c>
      <c r="C161" s="35" t="str">
        <f>O147</f>
        <v>mu &lt;= 67</v>
      </c>
      <c r="M161" s="2" t="str">
        <f>IF(O144&lt;&gt;"both","",ROUND(O159,4)&amp;O155)</f>
        <v/>
      </c>
      <c r="N161" s="2"/>
      <c r="O161" s="5"/>
    </row>
    <row r="162" spans="2:24">
      <c r="B162" t="str">
        <f>N148</f>
        <v>H1</v>
      </c>
      <c r="C162" s="35" t="str">
        <f>O148</f>
        <v>mu &gt; 67</v>
      </c>
      <c r="L162" s="17"/>
      <c r="M162" s="17"/>
      <c r="N162" s="17"/>
    </row>
    <row r="163" spans="2:24">
      <c r="K163" s="1">
        <v>4</v>
      </c>
      <c r="L163" s="1" t="s">
        <v>108</v>
      </c>
      <c r="M163" s="9"/>
      <c r="N163" s="9"/>
      <c r="O163" s="9"/>
    </row>
    <row r="164" spans="2:24">
      <c r="B164" s="1" t="s">
        <v>110</v>
      </c>
      <c r="K164" s="9"/>
      <c r="L164" t="str">
        <f>"Reject the null hypothesis if p-value is &lt; "&amp;O145</f>
        <v>Reject the null hypothesis if p-value is &lt; 0.05</v>
      </c>
    </row>
    <row r="165" spans="2:24">
      <c r="B165" t="str">
        <f>L158</f>
        <v>Reject the null hypothesis if t &gt; 1.796</v>
      </c>
      <c r="K165" s="9"/>
      <c r="L165" s="9"/>
      <c r="M165" s="9"/>
      <c r="N165" s="31" t="s">
        <v>104</v>
      </c>
      <c r="O165" s="46">
        <f>ROUND(O159,3)</f>
        <v>0.90300000000000002</v>
      </c>
      <c r="P165" s="9"/>
      <c r="Q165" s="36"/>
      <c r="R165" s="36"/>
    </row>
    <row r="166" spans="2:24">
      <c r="B166" t="str">
        <f>L164</f>
        <v>Reject the null hypothesis if p-value is &lt; 0.05</v>
      </c>
      <c r="K166" s="9"/>
      <c r="L166" s="9"/>
      <c r="M166" s="9"/>
      <c r="N166" s="31" t="s">
        <v>45</v>
      </c>
      <c r="O166" s="47">
        <f>O146</f>
        <v>11</v>
      </c>
      <c r="P166" s="9"/>
      <c r="Q166" s="36"/>
      <c r="R166" s="36"/>
    </row>
    <row r="167" spans="2:24">
      <c r="L167" s="9"/>
      <c r="M167" s="17"/>
      <c r="N167" s="2" t="s">
        <v>105</v>
      </c>
      <c r="O167" s="48">
        <v>1</v>
      </c>
      <c r="P167" t="s">
        <v>91</v>
      </c>
      <c r="Q167" s="36"/>
      <c r="R167" s="36"/>
    </row>
    <row r="168" spans="2:24">
      <c r="B168" s="1" t="s">
        <v>3</v>
      </c>
      <c r="N168" s="2" t="s">
        <v>106</v>
      </c>
      <c r="O168" s="33">
        <v>1</v>
      </c>
      <c r="P168" t="s">
        <v>91</v>
      </c>
      <c r="Q168" s="36"/>
      <c r="R168" s="36"/>
    </row>
    <row r="169" spans="2:24">
      <c r="B169" s="42">
        <f>O159</f>
        <v>0.90252601446781233</v>
      </c>
      <c r="N169" s="31" t="s">
        <v>25</v>
      </c>
      <c r="O169" t="str">
        <f>ROUND(O167,3)&amp;" &lt; p-value &lt; "&amp;ROUND(O168,3)</f>
        <v>1 &lt; p-value &lt; 1</v>
      </c>
    </row>
    <row r="170" spans="2:24">
      <c r="N170" s="31" t="s">
        <v>63</v>
      </c>
      <c r="O170" s="25">
        <f>O145</f>
        <v>5.0000000000000044E-2</v>
      </c>
    </row>
    <row r="171" spans="2:24">
      <c r="B171" s="1" t="s">
        <v>4</v>
      </c>
      <c r="N171" s="31" t="s">
        <v>109</v>
      </c>
      <c r="O171" s="2" t="b">
        <f>O168&lt;=O170</f>
        <v>0</v>
      </c>
      <c r="V171" t="s">
        <v>53</v>
      </c>
    </row>
    <row r="172" spans="2:24" ht="12.75" thickBot="1">
      <c r="B172" t="str">
        <f>M174</f>
        <v>Fail to reject H0 (mu &lt;= 67)</v>
      </c>
    </row>
    <row r="173" spans="2:24">
      <c r="B173" t="str">
        <f>M175</f>
        <v>Conclude that water consumption has increased</v>
      </c>
      <c r="K173" s="1">
        <v>5</v>
      </c>
      <c r="L173" s="1" t="s">
        <v>69</v>
      </c>
      <c r="V173" s="30"/>
      <c r="W173" s="30" t="s">
        <v>95</v>
      </c>
      <c r="X173" s="30" t="s">
        <v>52</v>
      </c>
    </row>
    <row r="174" spans="2:24">
      <c r="K174" s="1"/>
      <c r="L174" s="1"/>
      <c r="M174" s="34" t="str">
        <f>IFERROR(IF(O171,"Reject H0 ("&amp;O147&amp;")","Fail to reject H0 ("&amp;O147&amp;")"),"")</f>
        <v>Fail to reject H0 (mu &lt;= 67)</v>
      </c>
      <c r="U174" s="2" t="s">
        <v>14</v>
      </c>
      <c r="V174" s="28" t="s">
        <v>54</v>
      </c>
      <c r="W174" s="28">
        <v>82.5</v>
      </c>
      <c r="X174" s="28">
        <v>0</v>
      </c>
    </row>
    <row r="175" spans="2:24">
      <c r="B175" s="1" t="s">
        <v>5</v>
      </c>
      <c r="K175" s="1"/>
      <c r="L175" s="1"/>
      <c r="M175" t="s">
        <v>83</v>
      </c>
      <c r="U175" s="2" t="s">
        <v>75</v>
      </c>
      <c r="V175" s="28" t="s">
        <v>55</v>
      </c>
      <c r="W175" s="28">
        <v>3539.3636363636365</v>
      </c>
      <c r="X175" s="28">
        <v>0</v>
      </c>
    </row>
    <row r="176" spans="2:24">
      <c r="B176" s="42">
        <f>AC143</f>
        <v>0.19305705517763116</v>
      </c>
      <c r="C176" t="str">
        <f>IF(B176&lt;&gt;"","If H0 is true, the probability of finding a sample mean this extreme is "&amp;ROUND(B176,4),"")</f>
        <v>If H0 is true, the probability of finding a sample mean this extreme is 0.1931</v>
      </c>
      <c r="U176" s="2" t="s">
        <v>15</v>
      </c>
      <c r="V176" s="28" t="s">
        <v>56</v>
      </c>
      <c r="W176" s="28">
        <v>12</v>
      </c>
      <c r="X176" s="28">
        <v>2</v>
      </c>
    </row>
    <row r="177" spans="1:29">
      <c r="U177" s="2" t="s">
        <v>12</v>
      </c>
      <c r="V177" s="28" t="s">
        <v>57</v>
      </c>
      <c r="W177" s="28">
        <v>67</v>
      </c>
      <c r="X177" s="28"/>
    </row>
    <row r="178" spans="1:29">
      <c r="U178" s="2" t="s">
        <v>45</v>
      </c>
      <c r="V178" s="28" t="s">
        <v>45</v>
      </c>
      <c r="W178" s="28">
        <v>11</v>
      </c>
      <c r="X178" s="28"/>
    </row>
    <row r="179" spans="1:29">
      <c r="U179" s="2" t="s">
        <v>21</v>
      </c>
      <c r="V179" s="28" t="s">
        <v>58</v>
      </c>
      <c r="W179" s="28">
        <v>0.90252601446781255</v>
      </c>
      <c r="X179" s="28"/>
    </row>
    <row r="180" spans="1:29">
      <c r="U180" s="2" t="str">
        <f>IF(O144="both","","p-value")</f>
        <v>p-value</v>
      </c>
      <c r="V180" s="28" t="s">
        <v>59</v>
      </c>
      <c r="W180" s="28">
        <v>0.19305705517763116</v>
      </c>
      <c r="X180" s="28"/>
    </row>
    <row r="181" spans="1:29">
      <c r="U181" s="2" t="str">
        <f>IF(O144="both","","critical value")</f>
        <v>critical value</v>
      </c>
      <c r="V181" s="28" t="s">
        <v>60</v>
      </c>
      <c r="W181" s="28">
        <v>1.7958848187040437</v>
      </c>
      <c r="X181" s="28"/>
    </row>
    <row r="182" spans="1:29">
      <c r="U182" t="str">
        <f>IF(NOT(O144="both"),"","p-value")</f>
        <v/>
      </c>
      <c r="V182" s="28" t="s">
        <v>61</v>
      </c>
      <c r="W182" s="28">
        <v>0.38611411035526233</v>
      </c>
      <c r="X182" s="28"/>
    </row>
    <row r="183" spans="1:29" ht="12.75" thickBot="1">
      <c r="U183" t="str">
        <f>IF(NOT(O144="both"),"","critical value")</f>
        <v/>
      </c>
      <c r="V183" s="29" t="s">
        <v>62</v>
      </c>
      <c r="W183" s="29">
        <v>2.2009851600916384</v>
      </c>
      <c r="X183" s="29"/>
    </row>
    <row r="184" spans="1:29">
      <c r="V184" s="28"/>
      <c r="W184" s="28"/>
      <c r="X184" s="28"/>
    </row>
    <row r="185" spans="1:29">
      <c r="A185" s="1" t="s">
        <v>80</v>
      </c>
      <c r="K185" s="1" t="str">
        <f>"Hypothesis Test with "&amp;IF(O188&lt;&gt;"","a ","an un")&amp;"known sigma"</f>
        <v>Hypothesis Test with an unknown sigma</v>
      </c>
      <c r="S185" s="1" t="s">
        <v>68</v>
      </c>
    </row>
    <row r="186" spans="1:29">
      <c r="A186" s="1" t="s">
        <v>119</v>
      </c>
      <c r="B186" s="128" t="s">
        <v>121</v>
      </c>
      <c r="C186" s="128"/>
      <c r="D186" s="128"/>
      <c r="E186" s="128"/>
      <c r="F186" s="128"/>
      <c r="G186" s="128"/>
      <c r="H186" s="128"/>
      <c r="I186" s="128"/>
      <c r="J186" s="128"/>
      <c r="K186" s="1">
        <v>1</v>
      </c>
      <c r="L186" s="1" t="s">
        <v>71</v>
      </c>
      <c r="S186" s="1">
        <v>2</v>
      </c>
      <c r="T186" s="1" t="s">
        <v>96</v>
      </c>
      <c r="Y186" s="1">
        <v>3</v>
      </c>
      <c r="Z186" s="1" t="s">
        <v>65</v>
      </c>
    </row>
    <row r="187" spans="1:29">
      <c r="A187" s="1"/>
      <c r="B187" s="128"/>
      <c r="C187" s="128"/>
      <c r="D187" s="128"/>
      <c r="E187" s="128"/>
      <c r="F187" s="128"/>
      <c r="G187" s="128"/>
      <c r="H187" s="128"/>
      <c r="I187" s="128"/>
      <c r="J187" s="128"/>
      <c r="M187" s="2" t="s">
        <v>18</v>
      </c>
      <c r="N187" s="2" t="s">
        <v>12</v>
      </c>
      <c r="O187" s="38">
        <v>8000</v>
      </c>
      <c r="P187" t="s">
        <v>57</v>
      </c>
      <c r="U187" s="17" t="s">
        <v>120</v>
      </c>
      <c r="V187" s="1" t="s">
        <v>52</v>
      </c>
      <c r="AA187" s="2" t="s">
        <v>57</v>
      </c>
      <c r="AB187" s="4">
        <f>O187</f>
        <v>8000</v>
      </c>
      <c r="AC187" t="s">
        <v>12</v>
      </c>
    </row>
    <row r="188" spans="1:29">
      <c r="A188" s="1"/>
      <c r="B188" s="128"/>
      <c r="C188" s="128"/>
      <c r="D188" s="128"/>
      <c r="E188" s="128"/>
      <c r="F188" s="128"/>
      <c r="G188" s="128"/>
      <c r="H188" s="128"/>
      <c r="I188" s="128"/>
      <c r="J188" s="128"/>
      <c r="M188" s="2" t="s">
        <v>19</v>
      </c>
      <c r="N188" s="2" t="s">
        <v>13</v>
      </c>
      <c r="O188" s="38"/>
      <c r="U188">
        <v>7077</v>
      </c>
      <c r="V188">
        <v>0</v>
      </c>
      <c r="AA188" s="2" t="s">
        <v>16</v>
      </c>
      <c r="AB188" s="4">
        <f>O194</f>
        <v>5.0000000000000044E-2</v>
      </c>
      <c r="AC188" s="43" t="s">
        <v>66</v>
      </c>
    </row>
    <row r="189" spans="1:29">
      <c r="A189" s="1"/>
      <c r="B189" s="128"/>
      <c r="C189" s="128"/>
      <c r="D189" s="128"/>
      <c r="E189" s="128"/>
      <c r="F189" s="128"/>
      <c r="G189" s="128"/>
      <c r="H189" s="128"/>
      <c r="I189" s="128"/>
      <c r="J189" s="128"/>
      <c r="M189" s="2" t="s">
        <v>20</v>
      </c>
      <c r="N189" s="2" t="s">
        <v>14</v>
      </c>
      <c r="O189" s="38">
        <f>AVERAGE(C192:C203)</f>
        <v>7163.583333333333</v>
      </c>
      <c r="P189" t="s">
        <v>54</v>
      </c>
      <c r="U189">
        <v>5744</v>
      </c>
      <c r="V189">
        <v>0</v>
      </c>
    </row>
    <row r="190" spans="1:29">
      <c r="A190" s="1"/>
      <c r="D190" s="1"/>
      <c r="M190" s="2" t="s">
        <v>22</v>
      </c>
      <c r="N190" s="2" t="s">
        <v>15</v>
      </c>
      <c r="O190" s="38">
        <f>COUNT(C192:C203)</f>
        <v>12</v>
      </c>
      <c r="P190" t="s">
        <v>56</v>
      </c>
      <c r="U190">
        <v>6753</v>
      </c>
      <c r="Y190" s="1">
        <v>5</v>
      </c>
      <c r="Z190" s="1" t="s">
        <v>69</v>
      </c>
    </row>
    <row r="191" spans="1:29">
      <c r="A191" s="1"/>
      <c r="C191" s="1" t="s">
        <v>120</v>
      </c>
      <c r="M191" s="2" t="s">
        <v>42</v>
      </c>
      <c r="N191" s="2" t="s">
        <v>43</v>
      </c>
      <c r="O191" s="49">
        <f>_xlfn.STDEV.S(C192:C203)</f>
        <v>942.3700738354346</v>
      </c>
      <c r="U191">
        <v>7381</v>
      </c>
      <c r="Z191" t="str">
        <f>U232&amp;" &lt; "&amp;AC188</f>
        <v>p-value &lt; Alpha</v>
      </c>
    </row>
    <row r="192" spans="1:29">
      <c r="A192" s="1"/>
      <c r="C192" s="1">
        <v>7077</v>
      </c>
      <c r="M192" s="2" t="s">
        <v>23</v>
      </c>
      <c r="O192" s="38">
        <v>0.95</v>
      </c>
      <c r="U192">
        <v>7625</v>
      </c>
      <c r="Z192" s="2" t="s">
        <v>25</v>
      </c>
      <c r="AA192" s="20">
        <f>VLOOKUP(Z192,U226:W235,3,FALSE)</f>
        <v>5.2861530427884924E-3</v>
      </c>
    </row>
    <row r="193" spans="1:27">
      <c r="A193" s="1"/>
      <c r="C193" s="1">
        <v>5744</v>
      </c>
      <c r="M193" s="2" t="s">
        <v>35</v>
      </c>
      <c r="O193" s="38" t="s">
        <v>36</v>
      </c>
      <c r="U193">
        <v>6636</v>
      </c>
      <c r="Z193" s="2" t="s">
        <v>63</v>
      </c>
      <c r="AA193" s="20">
        <f>AB188</f>
        <v>5.0000000000000044E-2</v>
      </c>
    </row>
    <row r="194" spans="1:27">
      <c r="A194" s="1"/>
      <c r="C194" s="1">
        <v>6753</v>
      </c>
      <c r="M194" s="31" t="s">
        <v>16</v>
      </c>
      <c r="N194" s="31" t="s">
        <v>63</v>
      </c>
      <c r="O194" s="40">
        <f>1-O192</f>
        <v>5.0000000000000044E-2</v>
      </c>
      <c r="P194" t="s">
        <v>66</v>
      </c>
      <c r="U194">
        <v>7164</v>
      </c>
      <c r="Z194" t="b">
        <f>AA192&lt;AA193</f>
        <v>1</v>
      </c>
      <c r="AA194" s="2" t="str">
        <f>IF(NOT(Z194),"fail to ","")&amp;"reject H0"</f>
        <v>reject H0</v>
      </c>
    </row>
    <row r="195" spans="1:27">
      <c r="A195" s="1"/>
      <c r="C195" s="1">
        <v>7381</v>
      </c>
      <c r="M195" s="31" t="s">
        <v>46</v>
      </c>
      <c r="N195" s="31" t="s">
        <v>45</v>
      </c>
      <c r="O195" s="34">
        <f>O190-1</f>
        <v>11</v>
      </c>
      <c r="P195" t="s">
        <v>45</v>
      </c>
      <c r="U195">
        <v>7348</v>
      </c>
    </row>
    <row r="196" spans="1:27">
      <c r="A196" s="1"/>
      <c r="C196" s="1">
        <v>7625</v>
      </c>
      <c r="M196" s="2" t="s">
        <v>73</v>
      </c>
      <c r="N196" s="2" t="s">
        <v>10</v>
      </c>
      <c r="O196" s="32" t="str">
        <f>"mu"&amp;IF(O193="left"," &gt;= ",IF(O193="right"," &lt;= "," = "))&amp;O187</f>
        <v>mu &gt;= 8000</v>
      </c>
      <c r="U196">
        <v>8060</v>
      </c>
      <c r="Z196" t="str">
        <f>Z197&amp;IF(O193="right"," &gt; "," &lt; ")&amp;Z198</f>
        <v>test statistic &lt; critical value</v>
      </c>
    </row>
    <row r="197" spans="1:27">
      <c r="A197" s="1"/>
      <c r="C197" s="1">
        <v>6636</v>
      </c>
      <c r="M197" s="2" t="s">
        <v>72</v>
      </c>
      <c r="N197" s="2" t="s">
        <v>11</v>
      </c>
      <c r="O197" s="32" t="str">
        <f>"mu"&amp;IF(O193="left"," &lt; ",IF(O193="right"," &gt; "," != "))&amp;O187</f>
        <v>mu &lt; 8000</v>
      </c>
      <c r="U197">
        <v>5848</v>
      </c>
      <c r="Z197" s="2" t="s">
        <v>21</v>
      </c>
      <c r="AA197" s="20">
        <f>VLOOKUP(Z197,U226:W235,3,FALSE)</f>
        <v>-3.0746225993102945</v>
      </c>
    </row>
    <row r="198" spans="1:27">
      <c r="A198" s="1"/>
      <c r="C198" s="1">
        <v>7164</v>
      </c>
      <c r="U198">
        <v>9275</v>
      </c>
      <c r="Z198" s="2" t="s">
        <v>74</v>
      </c>
      <c r="AA198" s="20">
        <f>VLOOKUP(Z198,U226:W235,3,FALSE)</f>
        <v>1.7958848187040437</v>
      </c>
    </row>
    <row r="199" spans="1:27">
      <c r="A199" s="1"/>
      <c r="C199" s="1">
        <v>7348</v>
      </c>
      <c r="K199" s="1" t="s">
        <v>67</v>
      </c>
      <c r="U199">
        <v>7052</v>
      </c>
      <c r="Z199" t="b">
        <f>IF(O193="right",AA197&gt;AA198,NOT(AA197&gt;AA198))</f>
        <v>1</v>
      </c>
      <c r="AA199" s="2" t="str">
        <f>IF(NOT(Z199),"fail to ","")&amp;"reject H0"</f>
        <v>reject H0</v>
      </c>
    </row>
    <row r="200" spans="1:27">
      <c r="A200" s="1"/>
      <c r="C200" s="1">
        <v>8060</v>
      </c>
      <c r="K200" s="1">
        <v>2</v>
      </c>
      <c r="L200" s="1" t="s">
        <v>79</v>
      </c>
    </row>
    <row r="201" spans="1:27">
      <c r="A201" s="1"/>
      <c r="B201" s="1"/>
      <c r="C201" s="1">
        <v>5848</v>
      </c>
      <c r="N201" s="2" t="s">
        <v>49</v>
      </c>
      <c r="O201" s="3">
        <v>1.796</v>
      </c>
      <c r="P201" t="s">
        <v>91</v>
      </c>
    </row>
    <row r="202" spans="1:27">
      <c r="C202" s="1">
        <v>9275</v>
      </c>
      <c r="N202" s="2" t="s">
        <v>37</v>
      </c>
      <c r="O202" s="8">
        <f>0.5-(O194)</f>
        <v>0.44999999999999996</v>
      </c>
    </row>
    <row r="203" spans="1:27">
      <c r="C203" s="1">
        <v>7052</v>
      </c>
      <c r="N203" s="31" t="str">
        <f>"Rejection Region"&amp;IF(LOWER(O193)="both"," Low","")</f>
        <v>Rejection Region</v>
      </c>
      <c r="O203" s="31" t="str">
        <f>IF(O193="left"," &lt; "&amp;-1*O201,IF(O193="right"," &gt; "&amp;1*O201," &lt; "&amp;-1*O201))</f>
        <v xml:space="preserve"> &lt; -1.796</v>
      </c>
    </row>
    <row r="204" spans="1:27">
      <c r="N204" s="2" t="str">
        <f>IF(LOWER(O193)="both","Rejection Region High","")</f>
        <v/>
      </c>
      <c r="O204" s="2" t="str">
        <f>IF(O193="both"," &gt; "&amp;1*O201,"")</f>
        <v/>
      </c>
      <c r="S204" s="1">
        <v>4</v>
      </c>
      <c r="T204" s="1" t="s">
        <v>64</v>
      </c>
    </row>
    <row r="205" spans="1:27">
      <c r="B205" s="128"/>
      <c r="C205" s="128"/>
      <c r="D205" s="128"/>
      <c r="E205" s="128"/>
      <c r="F205" s="128"/>
      <c r="G205" s="128"/>
      <c r="H205" s="128"/>
      <c r="I205" s="128"/>
      <c r="J205" s="128"/>
    </row>
    <row r="206" spans="1:27">
      <c r="B206" s="128"/>
      <c r="C206" s="128"/>
      <c r="D206" s="128"/>
      <c r="E206" s="128"/>
      <c r="F206" s="128"/>
      <c r="G206" s="128"/>
      <c r="H206" s="128"/>
      <c r="I206" s="128"/>
      <c r="J206" s="128"/>
      <c r="K206" s="1">
        <v>3</v>
      </c>
      <c r="L206" s="27" t="s">
        <v>107</v>
      </c>
    </row>
    <row r="207" spans="1:27">
      <c r="B207" s="1"/>
      <c r="L207" s="1" t="str">
        <f>"Reject the null hypothesis"&amp;" if "&amp;N208&amp;O203&amp;IF(O193="both"," or "&amp;N208&amp;" is "&amp;O204,"")</f>
        <v>Reject the null hypothesis if t &lt; -1.796</v>
      </c>
      <c r="O207" s="1"/>
    </row>
    <row r="208" spans="1:27">
      <c r="A208" s="1" t="s">
        <v>81</v>
      </c>
      <c r="M208" s="2" t="s">
        <v>21</v>
      </c>
      <c r="N208" s="6" t="str">
        <f>IF(O188&lt;&gt;"","z","t")</f>
        <v>t</v>
      </c>
      <c r="O208" s="8">
        <f>(O189-O187)/(IF(O188&lt;&gt;"",O188,O191)/SQRT(O190))</f>
        <v>-3.0746225993102945</v>
      </c>
    </row>
    <row r="209" spans="2:22">
      <c r="B209" s="1" t="s">
        <v>1</v>
      </c>
      <c r="C209" s="35"/>
      <c r="M209" s="2" t="str">
        <f>ROUND(O208,4)&amp;O203</f>
        <v>-3.0746 &lt; -1.796</v>
      </c>
      <c r="N209" s="2"/>
      <c r="O209" s="5" t="b">
        <v>1</v>
      </c>
    </row>
    <row r="210" spans="2:22">
      <c r="B210" t="str">
        <f>N196</f>
        <v>H0</v>
      </c>
      <c r="C210" s="35" t="str">
        <f>O196</f>
        <v>mu &gt;= 8000</v>
      </c>
      <c r="M210" s="2" t="str">
        <f>IF(O193&lt;&gt;"both","",ROUND(O208,4)&amp;O204)</f>
        <v/>
      </c>
      <c r="N210" s="2"/>
      <c r="O210" s="5"/>
    </row>
    <row r="211" spans="2:22">
      <c r="B211" t="str">
        <f>N197</f>
        <v>H1</v>
      </c>
      <c r="C211" s="35" t="str">
        <f>O197</f>
        <v>mu &lt; 8000</v>
      </c>
      <c r="L211" s="17"/>
      <c r="M211" s="17"/>
      <c r="N211" s="17"/>
    </row>
    <row r="212" spans="2:22">
      <c r="K212" s="1">
        <v>4</v>
      </c>
      <c r="L212" s="1" t="s">
        <v>108</v>
      </c>
      <c r="M212" s="9"/>
      <c r="N212" s="9"/>
      <c r="O212" s="9"/>
    </row>
    <row r="213" spans="2:22">
      <c r="B213" s="1" t="s">
        <v>110</v>
      </c>
      <c r="K213" s="9"/>
      <c r="L213" t="str">
        <f>"Reject the null hypothesis if p-value is &lt; "&amp;O194</f>
        <v>Reject the null hypothesis if p-value is &lt; 0.05</v>
      </c>
    </row>
    <row r="214" spans="2:22">
      <c r="B214" t="str">
        <f>L207</f>
        <v>Reject the null hypothesis if t &lt; -1.796</v>
      </c>
      <c r="K214" s="9"/>
      <c r="L214" s="9"/>
      <c r="M214" s="9"/>
      <c r="N214" s="31" t="s">
        <v>104</v>
      </c>
      <c r="O214" s="46">
        <f>ROUND(O208,3)</f>
        <v>-3.0750000000000002</v>
      </c>
      <c r="P214" s="9"/>
      <c r="Q214" s="36"/>
      <c r="R214" s="36"/>
    </row>
    <row r="215" spans="2:22">
      <c r="B215" t="str">
        <f>L213</f>
        <v>Reject the null hypothesis if p-value is &lt; 0.05</v>
      </c>
      <c r="K215" s="9"/>
      <c r="L215" s="9"/>
      <c r="M215" s="9"/>
      <c r="N215" s="31" t="s">
        <v>45</v>
      </c>
      <c r="O215" s="47">
        <f>O195</f>
        <v>11</v>
      </c>
      <c r="P215" s="9"/>
      <c r="Q215" s="36"/>
      <c r="R215" s="36"/>
    </row>
    <row r="216" spans="2:22">
      <c r="L216" s="9"/>
      <c r="M216" s="17"/>
      <c r="N216" s="2" t="s">
        <v>105</v>
      </c>
      <c r="O216" s="45">
        <v>5.0000000000000001E-4</v>
      </c>
      <c r="P216" t="s">
        <v>91</v>
      </c>
      <c r="Q216" s="36"/>
      <c r="R216" s="36"/>
    </row>
    <row r="217" spans="2:22">
      <c r="B217" s="1" t="s">
        <v>3</v>
      </c>
      <c r="N217" s="2" t="s">
        <v>106</v>
      </c>
      <c r="O217" s="26">
        <v>5.0000000000000001E-3</v>
      </c>
      <c r="P217" t="s">
        <v>91</v>
      </c>
      <c r="Q217" s="36"/>
      <c r="R217" s="36"/>
    </row>
    <row r="218" spans="2:22">
      <c r="B218" s="42">
        <f>O208</f>
        <v>-3.0746225993102945</v>
      </c>
      <c r="N218" s="31" t="s">
        <v>25</v>
      </c>
      <c r="O218" t="str">
        <f>ROUND(O216,3)&amp;" &lt; p-value &lt; "&amp;ROUND(O217,3)</f>
        <v>0.001 &lt; p-value &lt; 0.005</v>
      </c>
    </row>
    <row r="219" spans="2:22">
      <c r="N219" s="31" t="s">
        <v>63</v>
      </c>
      <c r="O219" s="25">
        <f>O194</f>
        <v>5.0000000000000044E-2</v>
      </c>
    </row>
    <row r="220" spans="2:22">
      <c r="B220" s="1" t="s">
        <v>4</v>
      </c>
      <c r="N220" s="31" t="s">
        <v>109</v>
      </c>
      <c r="O220" s="2" t="b">
        <f>O217&lt;=O219</f>
        <v>1</v>
      </c>
    </row>
    <row r="221" spans="2:22">
      <c r="B221" t="str">
        <f>M223</f>
        <v>Reject H0 (mu &gt;= 8000)</v>
      </c>
    </row>
    <row r="222" spans="2:22">
      <c r="B222" t="str">
        <f>M224</f>
        <v>Conclude that these households paid less than $8,000 of interest per year</v>
      </c>
      <c r="K222" s="1">
        <v>5</v>
      </c>
      <c r="L222" s="1" t="s">
        <v>69</v>
      </c>
    </row>
    <row r="223" spans="2:22">
      <c r="K223" s="1"/>
      <c r="L223" s="1"/>
      <c r="M223" s="34" t="str">
        <f>IFERROR(IF(O220,"Reject H0 ("&amp;O196&amp;")","Fail to reject H0 ("&amp;O196&amp;")"),"")</f>
        <v>Reject H0 (mu &gt;= 8000)</v>
      </c>
      <c r="V223" t="s">
        <v>53</v>
      </c>
    </row>
    <row r="224" spans="2:22" ht="12.75" thickBot="1">
      <c r="B224" s="1" t="s">
        <v>5</v>
      </c>
      <c r="K224" s="1"/>
      <c r="L224" s="1"/>
      <c r="M224" t="s">
        <v>122</v>
      </c>
    </row>
    <row r="225" spans="1:29">
      <c r="B225" s="42">
        <f>AA192</f>
        <v>5.2861530427884924E-3</v>
      </c>
      <c r="C225" t="str">
        <f>IF(B225&lt;&gt;"","If H0 is true, the probability of finding a sample mean this extreme is "&amp;ROUND(B225,4),"")</f>
        <v>If H0 is true, the probability of finding a sample mean this extreme is 0.0053</v>
      </c>
      <c r="V225" s="30"/>
      <c r="W225" s="30" t="s">
        <v>120</v>
      </c>
      <c r="X225" s="30" t="s">
        <v>52</v>
      </c>
    </row>
    <row r="226" spans="1:29">
      <c r="U226" s="2" t="s">
        <v>14</v>
      </c>
      <c r="V226" s="28" t="s">
        <v>54</v>
      </c>
      <c r="W226" s="28">
        <v>7163.583333333333</v>
      </c>
      <c r="X226" s="28">
        <v>0</v>
      </c>
    </row>
    <row r="227" spans="1:29">
      <c r="U227" s="2" t="s">
        <v>75</v>
      </c>
      <c r="V227" s="28" t="s">
        <v>55</v>
      </c>
      <c r="W227" s="28">
        <v>888061.35606060247</v>
      </c>
      <c r="X227" s="28">
        <v>0</v>
      </c>
    </row>
    <row r="228" spans="1:29">
      <c r="U228" s="2" t="s">
        <v>15</v>
      </c>
      <c r="V228" s="28" t="s">
        <v>56</v>
      </c>
      <c r="W228" s="28">
        <v>12</v>
      </c>
      <c r="X228" s="28">
        <v>2</v>
      </c>
    </row>
    <row r="229" spans="1:29">
      <c r="U229" s="2" t="s">
        <v>12</v>
      </c>
      <c r="V229" s="28" t="s">
        <v>57</v>
      </c>
      <c r="W229" s="28">
        <v>8000</v>
      </c>
      <c r="X229" s="28"/>
    </row>
    <row r="230" spans="1:29">
      <c r="U230" s="2" t="s">
        <v>45</v>
      </c>
      <c r="V230" s="28" t="s">
        <v>45</v>
      </c>
      <c r="W230" s="28">
        <v>11</v>
      </c>
      <c r="X230" s="28"/>
    </row>
    <row r="231" spans="1:29">
      <c r="U231" s="2" t="s">
        <v>21</v>
      </c>
      <c r="V231" s="28" t="s">
        <v>58</v>
      </c>
      <c r="W231" s="28">
        <v>-3.0746225993102945</v>
      </c>
      <c r="X231" s="28"/>
    </row>
    <row r="232" spans="1:29">
      <c r="U232" s="2" t="str">
        <f>IF(O193="both","","p-value")</f>
        <v>p-value</v>
      </c>
      <c r="V232" s="28" t="s">
        <v>59</v>
      </c>
      <c r="W232" s="28">
        <v>5.2861530427884924E-3</v>
      </c>
      <c r="X232" s="28"/>
    </row>
    <row r="233" spans="1:29">
      <c r="U233" s="2" t="str">
        <f>IF(O193="both","","critical value")</f>
        <v>critical value</v>
      </c>
      <c r="V233" s="28" t="s">
        <v>60</v>
      </c>
      <c r="W233" s="28">
        <v>1.7958848187040437</v>
      </c>
      <c r="X233" s="28"/>
    </row>
    <row r="234" spans="1:29">
      <c r="U234" t="str">
        <f>IF(NOT(O193="both"),"","p-value")</f>
        <v/>
      </c>
      <c r="V234" s="28" t="s">
        <v>61</v>
      </c>
      <c r="W234" s="28">
        <v>1.0572306085576985E-2</v>
      </c>
      <c r="X234" s="28"/>
    </row>
    <row r="235" spans="1:29" ht="12.75" thickBot="1">
      <c r="U235" t="str">
        <f>IF(NOT(O193="both"),"","critical value")</f>
        <v/>
      </c>
      <c r="V235" s="29" t="s">
        <v>62</v>
      </c>
      <c r="W235" s="29">
        <v>2.2009851600916384</v>
      </c>
      <c r="X235" s="29"/>
    </row>
    <row r="237" spans="1:29">
      <c r="A237" s="1" t="s">
        <v>80</v>
      </c>
      <c r="K237" s="1" t="str">
        <f>"Hypothesis Test with "&amp;IF(O240&lt;&gt;"","a ","an un")&amp;"known sigma"</f>
        <v>Hypothesis Test with an unknown sigma</v>
      </c>
      <c r="S237" s="1" t="s">
        <v>68</v>
      </c>
    </row>
    <row r="238" spans="1:29">
      <c r="A238" s="1" t="s">
        <v>123</v>
      </c>
      <c r="B238" s="128" t="s">
        <v>124</v>
      </c>
      <c r="C238" s="128"/>
      <c r="D238" s="128"/>
      <c r="E238" s="128"/>
      <c r="F238" s="128"/>
      <c r="G238" s="128"/>
      <c r="H238" s="128"/>
      <c r="I238" s="128"/>
      <c r="J238" s="128"/>
      <c r="K238" s="1">
        <v>1</v>
      </c>
      <c r="L238" s="1" t="s">
        <v>71</v>
      </c>
      <c r="S238" s="1">
        <v>2</v>
      </c>
      <c r="T238" s="1" t="s">
        <v>96</v>
      </c>
      <c r="Y238" s="1">
        <v>3</v>
      </c>
      <c r="Z238" s="1" t="s">
        <v>65</v>
      </c>
    </row>
    <row r="239" spans="1:29">
      <c r="A239" s="1"/>
      <c r="B239" s="128"/>
      <c r="C239" s="128"/>
      <c r="D239" s="128"/>
      <c r="E239" s="128"/>
      <c r="F239" s="128"/>
      <c r="G239" s="128"/>
      <c r="H239" s="128"/>
      <c r="I239" s="128"/>
      <c r="J239" s="128"/>
      <c r="M239" s="2" t="s">
        <v>18</v>
      </c>
      <c r="N239" s="2" t="s">
        <v>12</v>
      </c>
      <c r="O239" s="38">
        <v>6.5</v>
      </c>
      <c r="P239" t="s">
        <v>57</v>
      </c>
      <c r="U239" s="17" t="s">
        <v>126</v>
      </c>
      <c r="V239" s="1" t="s">
        <v>52</v>
      </c>
      <c r="AA239" s="2" t="s">
        <v>57</v>
      </c>
      <c r="AB239" s="4">
        <f>O239</f>
        <v>6.5</v>
      </c>
      <c r="AC239" t="s">
        <v>12</v>
      </c>
    </row>
    <row r="240" spans="1:29">
      <c r="A240" s="1"/>
      <c r="B240" s="128"/>
      <c r="C240" s="128"/>
      <c r="D240" s="128"/>
      <c r="E240" s="128"/>
      <c r="F240" s="128"/>
      <c r="G240" s="128"/>
      <c r="H240" s="128"/>
      <c r="I240" s="128"/>
      <c r="J240" s="128"/>
      <c r="M240" s="2" t="s">
        <v>19</v>
      </c>
      <c r="N240" s="2" t="s">
        <v>13</v>
      </c>
      <c r="O240" s="38"/>
      <c r="U240">
        <v>0</v>
      </c>
      <c r="V240">
        <v>0</v>
      </c>
      <c r="AA240" s="2" t="s">
        <v>16</v>
      </c>
      <c r="AB240" s="4">
        <f>O246</f>
        <v>1.0000000000000009E-2</v>
      </c>
      <c r="AC240" s="43" t="s">
        <v>66</v>
      </c>
    </row>
    <row r="241" spans="1:27">
      <c r="A241" s="1"/>
      <c r="B241" s="128"/>
      <c r="C241" s="128"/>
      <c r="D241" s="128"/>
      <c r="E241" s="128"/>
      <c r="F241" s="128"/>
      <c r="G241" s="128"/>
      <c r="H241" s="128"/>
      <c r="I241" s="128"/>
      <c r="J241" s="128"/>
      <c r="M241" s="2" t="s">
        <v>20</v>
      </c>
      <c r="N241" s="2" t="s">
        <v>14</v>
      </c>
      <c r="O241" s="38">
        <f>AVERAGE(C244:C255)</f>
        <v>5.166666666666667</v>
      </c>
      <c r="P241" t="s">
        <v>54</v>
      </c>
      <c r="U241">
        <v>4</v>
      </c>
      <c r="V241">
        <v>0</v>
      </c>
    </row>
    <row r="242" spans="1:27">
      <c r="A242" s="1"/>
      <c r="D242" s="1"/>
      <c r="M242" s="2" t="s">
        <v>22</v>
      </c>
      <c r="N242" s="2" t="s">
        <v>15</v>
      </c>
      <c r="O242" s="38">
        <f>COUNT(C244:C255)</f>
        <v>12</v>
      </c>
      <c r="P242" t="s">
        <v>56</v>
      </c>
      <c r="U242">
        <v>3</v>
      </c>
      <c r="Y242" s="1">
        <v>5</v>
      </c>
      <c r="Z242" s="1" t="s">
        <v>69</v>
      </c>
    </row>
    <row r="243" spans="1:27">
      <c r="A243" s="1"/>
      <c r="C243" s="1" t="s">
        <v>126</v>
      </c>
      <c r="M243" s="2" t="s">
        <v>42</v>
      </c>
      <c r="N243" s="2" t="s">
        <v>43</v>
      </c>
      <c r="O243" s="49">
        <f>_xlfn.STDEV.S(C244:C255)</f>
        <v>3.1574826950748234</v>
      </c>
      <c r="U243">
        <v>4</v>
      </c>
      <c r="Z243" t="str">
        <f>U284&amp;" &lt; "&amp;AC240</f>
        <v>p-value &lt; Alpha</v>
      </c>
    </row>
    <row r="244" spans="1:27">
      <c r="A244" s="1"/>
      <c r="C244" s="27">
        <v>0</v>
      </c>
      <c r="M244" s="2" t="s">
        <v>23</v>
      </c>
      <c r="O244" s="38">
        <v>0.99</v>
      </c>
      <c r="U244">
        <v>9</v>
      </c>
      <c r="Z244" s="2" t="s">
        <v>25</v>
      </c>
      <c r="AA244" s="20">
        <f>VLOOKUP(Z244,U278:W287,3,FALSE)</f>
        <v>8.5748432053813883E-2</v>
      </c>
    </row>
    <row r="245" spans="1:27">
      <c r="A245" s="1"/>
      <c r="C245" s="27">
        <v>4</v>
      </c>
      <c r="M245" s="2" t="s">
        <v>35</v>
      </c>
      <c r="O245" s="38" t="s">
        <v>36</v>
      </c>
      <c r="U245">
        <v>4</v>
      </c>
      <c r="Z245" s="2" t="s">
        <v>63</v>
      </c>
      <c r="AA245" s="20">
        <f>AB240</f>
        <v>1.0000000000000009E-2</v>
      </c>
    </row>
    <row r="246" spans="1:27">
      <c r="A246" s="1"/>
      <c r="C246" s="27">
        <v>3</v>
      </c>
      <c r="M246" s="31" t="s">
        <v>16</v>
      </c>
      <c r="N246" s="31" t="s">
        <v>63</v>
      </c>
      <c r="O246" s="40">
        <f>1-O244</f>
        <v>1.0000000000000009E-2</v>
      </c>
      <c r="P246" t="s">
        <v>66</v>
      </c>
      <c r="U246">
        <v>5</v>
      </c>
      <c r="Z246" t="b">
        <f>AA244&lt;AA245</f>
        <v>0</v>
      </c>
      <c r="AA246" s="2" t="str">
        <f>IF(NOT(Z246),"fail to ","")&amp;"reject H0"</f>
        <v>fail to reject H0</v>
      </c>
    </row>
    <row r="247" spans="1:27">
      <c r="A247" s="1"/>
      <c r="C247" s="27">
        <v>4</v>
      </c>
      <c r="M247" s="31" t="s">
        <v>46</v>
      </c>
      <c r="N247" s="31" t="s">
        <v>45</v>
      </c>
      <c r="O247" s="34">
        <f>O242-1</f>
        <v>11</v>
      </c>
      <c r="P247" t="s">
        <v>45</v>
      </c>
      <c r="U247">
        <v>9</v>
      </c>
    </row>
    <row r="248" spans="1:27">
      <c r="A248" s="1"/>
      <c r="C248" s="27">
        <v>9</v>
      </c>
      <c r="M248" s="2" t="s">
        <v>73</v>
      </c>
      <c r="N248" s="2" t="s">
        <v>10</v>
      </c>
      <c r="O248" s="32" t="str">
        <f>"mu"&amp;IF(O245="left"," &gt;= ",IF(O245="right"," &lt;= "," = "))&amp;O239</f>
        <v>mu &gt;= 6.5</v>
      </c>
      <c r="U248">
        <v>1</v>
      </c>
      <c r="Z248" t="str">
        <f>Z249&amp;IF(O245="right"," &gt; "," &lt; ")&amp;Z250</f>
        <v>test statistic &lt; critical value</v>
      </c>
    </row>
    <row r="249" spans="1:27">
      <c r="A249" s="1"/>
      <c r="C249" s="27">
        <v>4</v>
      </c>
      <c r="M249" s="2" t="s">
        <v>72</v>
      </c>
      <c r="N249" s="2" t="s">
        <v>11</v>
      </c>
      <c r="O249" s="32" t="str">
        <f>"mu"&amp;IF(O245="left"," &lt; ",IF(O245="right"," &gt; "," != "))&amp;O239</f>
        <v>mu &lt; 6.5</v>
      </c>
      <c r="U249">
        <v>6</v>
      </c>
      <c r="Z249" s="2" t="s">
        <v>21</v>
      </c>
      <c r="AA249" s="20">
        <f>VLOOKUP(Z249,U278:W287,3,FALSE)</f>
        <v>-1.4628115494414617</v>
      </c>
    </row>
    <row r="250" spans="1:27">
      <c r="A250" s="1"/>
      <c r="C250" s="27">
        <v>5</v>
      </c>
      <c r="U250">
        <v>7</v>
      </c>
      <c r="Z250" s="2" t="s">
        <v>74</v>
      </c>
      <c r="AA250" s="20">
        <f>VLOOKUP(Z250,U278:W287,3,FALSE)</f>
        <v>2.7180791838138614</v>
      </c>
    </row>
    <row r="251" spans="1:27">
      <c r="A251" s="1"/>
      <c r="C251" s="27">
        <v>9</v>
      </c>
      <c r="K251" s="1" t="s">
        <v>67</v>
      </c>
      <c r="U251">
        <v>10</v>
      </c>
      <c r="Z251" t="b">
        <f>IF(O245="right",AA249&gt;AA250,NOT(AA249&gt;AA250))</f>
        <v>1</v>
      </c>
      <c r="AA251" s="2" t="str">
        <f>IF(NOT(Z251),"fail to ","")&amp;"reject H0"</f>
        <v>reject H0</v>
      </c>
    </row>
    <row r="252" spans="1:27">
      <c r="A252" s="1"/>
      <c r="C252" s="27">
        <v>1</v>
      </c>
      <c r="K252" s="1">
        <v>2</v>
      </c>
      <c r="L252" s="1" t="s">
        <v>79</v>
      </c>
    </row>
    <row r="253" spans="1:27">
      <c r="A253" s="1"/>
      <c r="B253" s="1"/>
      <c r="C253" s="27">
        <v>6</v>
      </c>
      <c r="N253" s="2" t="s">
        <v>49</v>
      </c>
      <c r="O253" s="3">
        <v>2.718</v>
      </c>
      <c r="P253" t="s">
        <v>91</v>
      </c>
    </row>
    <row r="254" spans="1:27">
      <c r="C254" s="27">
        <v>7</v>
      </c>
      <c r="N254" s="2" t="s">
        <v>37</v>
      </c>
      <c r="O254" s="8">
        <f>0.5-(O246)</f>
        <v>0.49</v>
      </c>
    </row>
    <row r="255" spans="1:27">
      <c r="C255" s="27">
        <v>10</v>
      </c>
      <c r="N255" s="31" t="str">
        <f>"Rejection Region"&amp;IF(LOWER(O245)="both"," Low","")</f>
        <v>Rejection Region</v>
      </c>
      <c r="O255" s="31" t="str">
        <f>IF(O245="left"," &lt; "&amp;-1*O253,IF(O245="right"," &gt; "&amp;1*O253," &lt; "&amp;-1*O253))</f>
        <v xml:space="preserve"> &lt; -2.718</v>
      </c>
    </row>
    <row r="256" spans="1:27">
      <c r="N256" s="2" t="str">
        <f>IF(LOWER(O245)="both","Rejection Region High","")</f>
        <v/>
      </c>
      <c r="O256" s="2" t="str">
        <f>IF(O245="both"," &gt; "&amp;1*O253,"")</f>
        <v/>
      </c>
      <c r="S256" s="1">
        <v>4</v>
      </c>
      <c r="T256" s="1" t="s">
        <v>64</v>
      </c>
    </row>
    <row r="257" spans="1:18">
      <c r="B257" s="128" t="s">
        <v>125</v>
      </c>
      <c r="C257" s="128"/>
      <c r="D257" s="128"/>
      <c r="E257" s="128"/>
      <c r="F257" s="128"/>
      <c r="G257" s="128"/>
      <c r="H257" s="128"/>
      <c r="I257" s="128"/>
      <c r="J257" s="128"/>
    </row>
    <row r="258" spans="1:18">
      <c r="B258" s="128"/>
      <c r="C258" s="128"/>
      <c r="D258" s="128"/>
      <c r="E258" s="128"/>
      <c r="F258" s="128"/>
      <c r="G258" s="128"/>
      <c r="H258" s="128"/>
      <c r="I258" s="128"/>
      <c r="J258" s="128"/>
      <c r="K258" s="1">
        <v>3</v>
      </c>
      <c r="L258" s="27" t="s">
        <v>107</v>
      </c>
    </row>
    <row r="259" spans="1:18">
      <c r="B259" s="1"/>
      <c r="L259" s="1" t="str">
        <f>"Reject the null hypothesis"&amp;" if "&amp;N260&amp;O255&amp;IF(O245="both"," or "&amp;N260&amp;" is "&amp;O256,"")</f>
        <v>Reject the null hypothesis if t &lt; -2.718</v>
      </c>
      <c r="O259" s="1"/>
    </row>
    <row r="260" spans="1:18">
      <c r="A260" s="1" t="s">
        <v>81</v>
      </c>
      <c r="M260" s="2" t="s">
        <v>21</v>
      </c>
      <c r="N260" s="6" t="str">
        <f>IF(O240&lt;&gt;"","z","t")</f>
        <v>t</v>
      </c>
      <c r="O260" s="8">
        <f>(O241-O239)/(IF(O240&lt;&gt;"",O240,O243)/SQRT(O242))</f>
        <v>-1.4628115494414617</v>
      </c>
    </row>
    <row r="261" spans="1:18">
      <c r="B261" s="1" t="s">
        <v>1</v>
      </c>
      <c r="C261" s="35"/>
      <c r="M261" s="2" t="str">
        <f>ROUND(O260,4)&amp;O255</f>
        <v>-1.4628 &lt; -2.718</v>
      </c>
      <c r="N261" s="2"/>
      <c r="O261" s="5" t="b">
        <v>0</v>
      </c>
    </row>
    <row r="262" spans="1:18">
      <c r="B262" t="str">
        <f>N248</f>
        <v>H0</v>
      </c>
      <c r="C262" s="35" t="str">
        <f>O248</f>
        <v>mu &gt;= 6.5</v>
      </c>
      <c r="M262" s="2" t="str">
        <f>IF(O245&lt;&gt;"both","",ROUND(O260,4)&amp;O256)</f>
        <v/>
      </c>
      <c r="N262" s="2"/>
      <c r="O262" s="5"/>
    </row>
    <row r="263" spans="1:18">
      <c r="B263" t="str">
        <f>N249</f>
        <v>H1</v>
      </c>
      <c r="C263" s="35" t="str">
        <f>O249</f>
        <v>mu &lt; 6.5</v>
      </c>
      <c r="L263" s="17"/>
      <c r="M263" s="17"/>
      <c r="N263" s="17"/>
    </row>
    <row r="264" spans="1:18">
      <c r="K264" s="1">
        <v>4</v>
      </c>
      <c r="L264" s="1" t="s">
        <v>108</v>
      </c>
      <c r="M264" s="9"/>
      <c r="N264" s="9"/>
      <c r="O264" s="9"/>
    </row>
    <row r="265" spans="1:18">
      <c r="B265" s="1" t="s">
        <v>110</v>
      </c>
      <c r="K265" s="9"/>
      <c r="L265" t="str">
        <f>"Reject the null hypothesis if p-value is &lt; "&amp;O246</f>
        <v>Reject the null hypothesis if p-value is &lt; 0.01</v>
      </c>
    </row>
    <row r="266" spans="1:18">
      <c r="B266" t="str">
        <f>L259</f>
        <v>Reject the null hypothesis if t &lt; -2.718</v>
      </c>
      <c r="K266" s="9"/>
      <c r="L266" s="9"/>
      <c r="M266" s="9"/>
      <c r="N266" s="31" t="s">
        <v>104</v>
      </c>
      <c r="O266" s="46">
        <f>ROUND(O260,3)</f>
        <v>-1.4630000000000001</v>
      </c>
      <c r="P266" s="9"/>
      <c r="Q266" s="36"/>
      <c r="R266" s="36"/>
    </row>
    <row r="267" spans="1:18">
      <c r="B267" t="str">
        <f>L265</f>
        <v>Reject the null hypothesis if p-value is &lt; 0.01</v>
      </c>
      <c r="K267" s="9"/>
      <c r="L267" s="9"/>
      <c r="M267" s="9"/>
      <c r="N267" s="31" t="s">
        <v>45</v>
      </c>
      <c r="O267" s="47">
        <f>O247</f>
        <v>11</v>
      </c>
      <c r="P267" s="9"/>
      <c r="Q267" s="36"/>
      <c r="R267" s="36"/>
    </row>
    <row r="268" spans="1:18">
      <c r="L268" s="9"/>
      <c r="M268" s="17"/>
      <c r="N268" s="2" t="s">
        <v>105</v>
      </c>
      <c r="O268" s="45">
        <v>0.05</v>
      </c>
      <c r="P268" t="s">
        <v>91</v>
      </c>
      <c r="Q268" s="36"/>
      <c r="R268" s="36"/>
    </row>
    <row r="269" spans="1:18">
      <c r="B269" s="1" t="s">
        <v>3</v>
      </c>
      <c r="N269" s="2" t="s">
        <v>106</v>
      </c>
      <c r="O269" s="26">
        <v>0.1</v>
      </c>
      <c r="P269" t="s">
        <v>91</v>
      </c>
      <c r="Q269" s="36"/>
      <c r="R269" s="36"/>
    </row>
    <row r="270" spans="1:18">
      <c r="B270" s="42">
        <f>O260</f>
        <v>-1.4628115494414617</v>
      </c>
      <c r="N270" s="31" t="s">
        <v>25</v>
      </c>
      <c r="O270" t="str">
        <f>ROUND(O268,3)&amp;" &lt; p-value &lt; "&amp;ROUND(O269,3)</f>
        <v>0.05 &lt; p-value &lt; 0.1</v>
      </c>
    </row>
    <row r="271" spans="1:18">
      <c r="N271" s="31" t="s">
        <v>63</v>
      </c>
      <c r="O271" s="25">
        <f>O246</f>
        <v>1.0000000000000009E-2</v>
      </c>
    </row>
    <row r="272" spans="1:18">
      <c r="B272" s="1" t="s">
        <v>4</v>
      </c>
      <c r="N272" s="31" t="s">
        <v>109</v>
      </c>
      <c r="O272" s="2" t="b">
        <f>O269&lt;=O271</f>
        <v>0</v>
      </c>
    </row>
    <row r="273" spans="2:24">
      <c r="B273" t="str">
        <f>M275</f>
        <v>Fail to reject H0 (mu &gt;= 6.5)</v>
      </c>
    </row>
    <row r="274" spans="2:24">
      <c r="B274" t="str">
        <f>M276</f>
        <v>We cannot conclude the mean number of returns is less than 6.5</v>
      </c>
      <c r="K274" s="1">
        <v>5</v>
      </c>
      <c r="L274" s="1" t="s">
        <v>69</v>
      </c>
    </row>
    <row r="275" spans="2:24">
      <c r="K275" s="1"/>
      <c r="L275" s="1"/>
      <c r="M275" s="34" t="str">
        <f>IFERROR(IF(O272,"Reject H0 ("&amp;O248&amp;")","Fail to reject H0 ("&amp;O248&amp;")"),"")</f>
        <v>Fail to reject H0 (mu &gt;= 6.5)</v>
      </c>
      <c r="V275" t="s">
        <v>53</v>
      </c>
    </row>
    <row r="276" spans="2:24" ht="12.75" thickBot="1">
      <c r="B276" s="1" t="s">
        <v>5</v>
      </c>
      <c r="K276" s="1"/>
      <c r="L276" s="1"/>
      <c r="M276" t="s">
        <v>127</v>
      </c>
    </row>
    <row r="277" spans="2:24">
      <c r="B277" s="42">
        <f>AA244</f>
        <v>8.5748432053813883E-2</v>
      </c>
      <c r="C277" t="str">
        <f>IF(B277&lt;&gt;"","If H0 is true, the probability of finding a sample mean this extreme is "&amp;ROUND(B277,4),"")</f>
        <v>If H0 is true, the probability of finding a sample mean this extreme is 0.0857</v>
      </c>
      <c r="V277" s="30"/>
      <c r="W277" s="30" t="s">
        <v>126</v>
      </c>
      <c r="X277" s="30" t="s">
        <v>52</v>
      </c>
    </row>
    <row r="278" spans="2:24">
      <c r="U278" s="2" t="s">
        <v>14</v>
      </c>
      <c r="V278" s="28" t="s">
        <v>54</v>
      </c>
      <c r="W278" s="28">
        <v>5.166666666666667</v>
      </c>
      <c r="X278" s="28">
        <v>0</v>
      </c>
    </row>
    <row r="279" spans="2:24">
      <c r="U279" s="2" t="s">
        <v>75</v>
      </c>
      <c r="V279" s="28" t="s">
        <v>55</v>
      </c>
      <c r="W279" s="28">
        <v>9.9696969696969706</v>
      </c>
      <c r="X279" s="28">
        <v>0</v>
      </c>
    </row>
    <row r="280" spans="2:24">
      <c r="U280" s="2" t="s">
        <v>15</v>
      </c>
      <c r="V280" s="28" t="s">
        <v>56</v>
      </c>
      <c r="W280" s="28">
        <v>12</v>
      </c>
      <c r="X280" s="28">
        <v>2</v>
      </c>
    </row>
    <row r="281" spans="2:24">
      <c r="U281" s="2" t="s">
        <v>12</v>
      </c>
      <c r="V281" s="28" t="s">
        <v>57</v>
      </c>
      <c r="W281" s="28">
        <v>6.5</v>
      </c>
      <c r="X281" s="28"/>
    </row>
    <row r="282" spans="2:24">
      <c r="U282" s="2" t="s">
        <v>45</v>
      </c>
      <c r="V282" s="28" t="s">
        <v>45</v>
      </c>
      <c r="W282" s="28">
        <v>11</v>
      </c>
      <c r="X282" s="28"/>
    </row>
    <row r="283" spans="2:24">
      <c r="U283" s="2" t="s">
        <v>21</v>
      </c>
      <c r="V283" s="28" t="s">
        <v>58</v>
      </c>
      <c r="W283" s="28">
        <v>-1.4628115494414617</v>
      </c>
      <c r="X283" s="28"/>
    </row>
    <row r="284" spans="2:24">
      <c r="U284" s="2" t="str">
        <f>IF(O245="both","","p-value")</f>
        <v>p-value</v>
      </c>
      <c r="V284" s="28" t="s">
        <v>59</v>
      </c>
      <c r="W284" s="28">
        <v>8.5748432053813883E-2</v>
      </c>
      <c r="X284" s="28"/>
    </row>
    <row r="285" spans="2:24">
      <c r="U285" s="2" t="str">
        <f>IF(O245="both","","critical value")</f>
        <v>critical value</v>
      </c>
      <c r="V285" s="28" t="s">
        <v>60</v>
      </c>
      <c r="W285" s="28">
        <v>2.7180791838138614</v>
      </c>
      <c r="X285" s="28"/>
    </row>
    <row r="286" spans="2:24">
      <c r="U286" t="str">
        <f>IF(NOT(O245="both"),"","p-value")</f>
        <v/>
      </c>
      <c r="V286" s="28" t="s">
        <v>61</v>
      </c>
      <c r="W286" s="28">
        <v>0.17149686410762777</v>
      </c>
      <c r="X286" s="28"/>
    </row>
    <row r="287" spans="2:24" ht="12.75" thickBot="1">
      <c r="U287" t="str">
        <f>IF(NOT(O245="both"),"","critical value")</f>
        <v/>
      </c>
      <c r="V287" s="29" t="s">
        <v>62</v>
      </c>
      <c r="W287" s="29">
        <v>3.1058065155392809</v>
      </c>
      <c r="X287" s="29"/>
    </row>
    <row r="289" spans="1:29">
      <c r="A289" s="1" t="s">
        <v>80</v>
      </c>
      <c r="K289" s="1" t="str">
        <f>"Hypothesis Test with "&amp;IF(O292&lt;&gt;"","a ","an un")&amp;"known sigma"</f>
        <v>Hypothesis Test with an unknown sigma</v>
      </c>
      <c r="S289" s="1" t="s">
        <v>68</v>
      </c>
    </row>
    <row r="290" spans="1:29">
      <c r="A290" s="1" t="s">
        <v>128</v>
      </c>
      <c r="B290" s="128" t="s">
        <v>129</v>
      </c>
      <c r="C290" s="128"/>
      <c r="D290" s="128"/>
      <c r="E290" s="128"/>
      <c r="F290" s="128"/>
      <c r="G290" s="128"/>
      <c r="H290" s="128"/>
      <c r="I290" s="128"/>
      <c r="J290" s="128"/>
      <c r="K290" s="1">
        <v>1</v>
      </c>
      <c r="L290" s="1" t="s">
        <v>71</v>
      </c>
      <c r="S290" s="1">
        <v>2</v>
      </c>
      <c r="T290" s="1" t="s">
        <v>96</v>
      </c>
      <c r="Y290" s="1">
        <v>3</v>
      </c>
      <c r="Z290" s="1" t="s">
        <v>65</v>
      </c>
    </row>
    <row r="291" spans="1:29">
      <c r="A291" s="1"/>
      <c r="B291" s="128"/>
      <c r="C291" s="128"/>
      <c r="D291" s="128"/>
      <c r="E291" s="128"/>
      <c r="F291" s="128"/>
      <c r="G291" s="128"/>
      <c r="H291" s="128"/>
      <c r="I291" s="128"/>
      <c r="J291" s="128"/>
      <c r="M291" s="2" t="s">
        <v>18</v>
      </c>
      <c r="N291" s="2" t="s">
        <v>12</v>
      </c>
      <c r="O291" s="38">
        <v>100</v>
      </c>
      <c r="P291" t="s">
        <v>57</v>
      </c>
      <c r="U291" s="17" t="s">
        <v>131</v>
      </c>
      <c r="V291" s="1" t="s">
        <v>52</v>
      </c>
      <c r="AA291" s="2" t="s">
        <v>57</v>
      </c>
      <c r="AB291" s="4">
        <f>O291</f>
        <v>100</v>
      </c>
      <c r="AC291" t="s">
        <v>12</v>
      </c>
    </row>
    <row r="292" spans="1:29">
      <c r="A292" s="1"/>
      <c r="B292" s="128"/>
      <c r="C292" s="128"/>
      <c r="D292" s="128"/>
      <c r="E292" s="128"/>
      <c r="F292" s="128"/>
      <c r="G292" s="128"/>
      <c r="H292" s="128"/>
      <c r="I292" s="128"/>
      <c r="J292" s="128"/>
      <c r="M292" s="2" t="s">
        <v>19</v>
      </c>
      <c r="N292" s="2" t="s">
        <v>13</v>
      </c>
      <c r="O292" s="38"/>
      <c r="U292">
        <v>120</v>
      </c>
      <c r="V292">
        <v>0</v>
      </c>
      <c r="AA292" s="2" t="s">
        <v>16</v>
      </c>
      <c r="AB292" s="4">
        <f>O298</f>
        <v>5.0000000000000044E-2</v>
      </c>
      <c r="AC292" s="43" t="s">
        <v>66</v>
      </c>
    </row>
    <row r="293" spans="1:29">
      <c r="A293" s="1"/>
      <c r="B293" s="128"/>
      <c r="C293" s="128"/>
      <c r="D293" s="128"/>
      <c r="E293" s="128"/>
      <c r="F293" s="128"/>
      <c r="G293" s="128"/>
      <c r="H293" s="128"/>
      <c r="I293" s="128"/>
      <c r="J293" s="128"/>
      <c r="M293" s="2" t="s">
        <v>20</v>
      </c>
      <c r="N293" s="2" t="s">
        <v>14</v>
      </c>
      <c r="O293" s="38">
        <f>AVERAGE(C296:C310)</f>
        <v>109.4</v>
      </c>
      <c r="P293" t="s">
        <v>54</v>
      </c>
      <c r="U293">
        <v>108</v>
      </c>
      <c r="V293">
        <v>0</v>
      </c>
    </row>
    <row r="294" spans="1:29">
      <c r="A294" s="1"/>
      <c r="D294" s="1"/>
      <c r="M294" s="2" t="s">
        <v>22</v>
      </c>
      <c r="N294" s="2" t="s">
        <v>15</v>
      </c>
      <c r="O294" s="38">
        <f>COUNT(C296:C310)</f>
        <v>15</v>
      </c>
      <c r="P294" t="s">
        <v>56</v>
      </c>
      <c r="U294">
        <v>120</v>
      </c>
      <c r="Y294" s="1">
        <v>5</v>
      </c>
      <c r="Z294" s="1" t="s">
        <v>69</v>
      </c>
    </row>
    <row r="295" spans="1:29">
      <c r="A295" s="1"/>
      <c r="C295" s="1" t="s">
        <v>131</v>
      </c>
      <c r="M295" s="2" t="s">
        <v>42</v>
      </c>
      <c r="N295" s="2" t="s">
        <v>43</v>
      </c>
      <c r="O295" s="49">
        <f>_xlfn.STDEV.S(C296:C310)</f>
        <v>9.9627879058596278</v>
      </c>
      <c r="U295">
        <v>114</v>
      </c>
      <c r="Z295" t="str">
        <f>U336&amp;" &lt; "&amp;AC292</f>
        <v>p-value &lt; Alpha</v>
      </c>
    </row>
    <row r="296" spans="1:29">
      <c r="A296" s="1"/>
      <c r="C296" s="27">
        <v>120</v>
      </c>
      <c r="M296" s="2" t="s">
        <v>23</v>
      </c>
      <c r="O296" s="38">
        <v>0.95</v>
      </c>
      <c r="U296">
        <v>118</v>
      </c>
      <c r="Z296" s="2" t="s">
        <v>25</v>
      </c>
      <c r="AA296" s="20">
        <f>VLOOKUP(Z296,U330:W339,3,FALSE)</f>
        <v>1.3015427061343187E-3</v>
      </c>
    </row>
    <row r="297" spans="1:29">
      <c r="A297" s="1"/>
      <c r="C297" s="27">
        <v>108</v>
      </c>
      <c r="M297" s="2" t="s">
        <v>35</v>
      </c>
      <c r="O297" s="38" t="s">
        <v>44</v>
      </c>
      <c r="U297">
        <v>91</v>
      </c>
      <c r="Z297" s="2" t="s">
        <v>63</v>
      </c>
      <c r="AA297" s="20">
        <f>AB292</f>
        <v>5.0000000000000044E-2</v>
      </c>
    </row>
    <row r="298" spans="1:29">
      <c r="A298" s="1"/>
      <c r="C298" s="27">
        <v>120</v>
      </c>
      <c r="M298" s="31" t="s">
        <v>16</v>
      </c>
      <c r="N298" s="31" t="s">
        <v>63</v>
      </c>
      <c r="O298" s="40">
        <f>1-O296</f>
        <v>5.0000000000000044E-2</v>
      </c>
      <c r="P298" t="s">
        <v>66</v>
      </c>
      <c r="U298">
        <v>118</v>
      </c>
      <c r="Z298" t="b">
        <f>AA296&lt;AA297</f>
        <v>1</v>
      </c>
      <c r="AA298" s="2" t="str">
        <f>IF(NOT(Z298),"fail to ","")&amp;"reject H0"</f>
        <v>reject H0</v>
      </c>
    </row>
    <row r="299" spans="1:29">
      <c r="A299" s="1"/>
      <c r="C299" s="27">
        <v>114</v>
      </c>
      <c r="M299" s="31" t="s">
        <v>46</v>
      </c>
      <c r="N299" s="31" t="s">
        <v>45</v>
      </c>
      <c r="O299" s="34">
        <f>O294-1</f>
        <v>14</v>
      </c>
      <c r="P299" t="s">
        <v>45</v>
      </c>
      <c r="U299">
        <v>92</v>
      </c>
    </row>
    <row r="300" spans="1:29">
      <c r="A300" s="1"/>
      <c r="C300" s="27">
        <v>118</v>
      </c>
      <c r="M300" s="2" t="s">
        <v>73</v>
      </c>
      <c r="N300" s="2" t="s">
        <v>10</v>
      </c>
      <c r="O300" s="32" t="str">
        <f>"mu"&amp;IF(O297="left"," &gt;= ",IF(O297="right"," &lt;= "," = "))&amp;O291</f>
        <v>mu &lt;= 100</v>
      </c>
      <c r="U300">
        <v>104</v>
      </c>
      <c r="Z300" t="str">
        <f>Z301&amp;IF(O297="right"," &gt; "," &lt; ")&amp;Z302</f>
        <v>test statistic &gt; critical value</v>
      </c>
    </row>
    <row r="301" spans="1:29">
      <c r="A301" s="1"/>
      <c r="C301" s="27">
        <v>91</v>
      </c>
      <c r="M301" s="2" t="s">
        <v>72</v>
      </c>
      <c r="N301" s="2" t="s">
        <v>11</v>
      </c>
      <c r="O301" s="32" t="str">
        <f>"mu"&amp;IF(O297="left"," &lt; ",IF(O297="right"," &gt; "," != "))&amp;O291</f>
        <v>mu &gt; 100</v>
      </c>
      <c r="U301">
        <v>104</v>
      </c>
      <c r="Z301" s="2" t="s">
        <v>21</v>
      </c>
      <c r="AA301" s="20">
        <f>VLOOKUP(Z301,U330:W339,3,FALSE)</f>
        <v>3.6542023977984592</v>
      </c>
    </row>
    <row r="302" spans="1:29">
      <c r="A302" s="1"/>
      <c r="C302" s="27">
        <v>118</v>
      </c>
      <c r="U302">
        <v>112</v>
      </c>
      <c r="Z302" s="2" t="s">
        <v>74</v>
      </c>
      <c r="AA302" s="20">
        <f>VLOOKUP(Z302,U330:W339,3,FALSE)</f>
        <v>1.7613101357748921</v>
      </c>
    </row>
    <row r="303" spans="1:29">
      <c r="A303" s="1"/>
      <c r="C303" s="27">
        <v>92</v>
      </c>
      <c r="K303" s="1" t="s">
        <v>67</v>
      </c>
      <c r="U303">
        <v>97</v>
      </c>
      <c r="Z303" t="b">
        <f>IF(O297="right",AA301&gt;AA302,NOT(AA301&gt;AA302))</f>
        <v>1</v>
      </c>
      <c r="AA303" s="2" t="str">
        <f>IF(NOT(Z303),"fail to ","")&amp;"reject H0"</f>
        <v>reject H0</v>
      </c>
    </row>
    <row r="304" spans="1:29">
      <c r="A304" s="1"/>
      <c r="C304" s="27">
        <v>104</v>
      </c>
      <c r="K304" s="1">
        <v>2</v>
      </c>
      <c r="L304" s="1" t="s">
        <v>79</v>
      </c>
      <c r="U304">
        <v>118</v>
      </c>
    </row>
    <row r="305" spans="1:21">
      <c r="A305" s="1"/>
      <c r="B305" s="1"/>
      <c r="C305" s="27">
        <v>104</v>
      </c>
      <c r="N305" s="2" t="s">
        <v>49</v>
      </c>
      <c r="O305" s="3">
        <v>1.7609999999999999</v>
      </c>
      <c r="P305" t="s">
        <v>91</v>
      </c>
      <c r="U305">
        <v>108</v>
      </c>
    </row>
    <row r="306" spans="1:21">
      <c r="C306" s="27">
        <v>112</v>
      </c>
      <c r="N306" s="2" t="s">
        <v>37</v>
      </c>
      <c r="O306" s="8">
        <f>0.5-(O298)</f>
        <v>0.44999999999999996</v>
      </c>
      <c r="U306">
        <v>117</v>
      </c>
    </row>
    <row r="307" spans="1:21">
      <c r="C307" s="27">
        <v>97</v>
      </c>
      <c r="N307" s="31" t="str">
        <f>"Rejection Region"&amp;IF(LOWER(O297)="both"," Low","")</f>
        <v>Rejection Region</v>
      </c>
      <c r="O307" s="31" t="str">
        <f>IF(O297="left"," &lt; "&amp;-1*O305,IF(O297="right"," &gt; "&amp;1*O305," &lt; "&amp;-1*O305))</f>
        <v xml:space="preserve"> &gt; 1.761</v>
      </c>
    </row>
    <row r="308" spans="1:21">
      <c r="C308" s="27">
        <v>118</v>
      </c>
      <c r="N308" s="2" t="str">
        <f>IF(LOWER(O297)="both","Rejection Region High","")</f>
        <v/>
      </c>
      <c r="O308" s="2" t="str">
        <f>IF(O297="both"," &gt; "&amp;1*O305,"")</f>
        <v/>
      </c>
      <c r="S308" s="1">
        <v>4</v>
      </c>
      <c r="T308" s="1" t="s">
        <v>64</v>
      </c>
    </row>
    <row r="309" spans="1:21">
      <c r="C309" s="27">
        <v>108</v>
      </c>
    </row>
    <row r="310" spans="1:21">
      <c r="C310" s="27">
        <v>117</v>
      </c>
      <c r="K310" s="1">
        <v>3</v>
      </c>
      <c r="L310" s="27" t="s">
        <v>107</v>
      </c>
    </row>
    <row r="311" spans="1:21">
      <c r="L311" s="1" t="str">
        <f>"Reject the null hypothesis"&amp;" if "&amp;N312&amp;O307&amp;IF(O297="both"," or "&amp;N312&amp;" is "&amp;O308,"")</f>
        <v>Reject the null hypothesis if t &gt; 1.761</v>
      </c>
      <c r="O311" s="1"/>
    </row>
    <row r="312" spans="1:21">
      <c r="M312" s="2" t="s">
        <v>21</v>
      </c>
      <c r="N312" s="6" t="str">
        <f>IF(O292&lt;&gt;"","z","t")</f>
        <v>t</v>
      </c>
      <c r="O312" s="8">
        <f>(O293-O291)/(IF(O292&lt;&gt;"",O292,O295)/SQRT(O294))</f>
        <v>3.6542023977984592</v>
      </c>
    </row>
    <row r="313" spans="1:21">
      <c r="B313" s="128" t="s">
        <v>130</v>
      </c>
      <c r="C313" s="128"/>
      <c r="D313" s="128"/>
      <c r="E313" s="128"/>
      <c r="F313" s="128"/>
      <c r="G313" s="128"/>
      <c r="H313" s="128"/>
      <c r="I313" s="128"/>
      <c r="J313" s="128"/>
      <c r="M313" s="2" t="str">
        <f>ROUND(O312,4)&amp;O307</f>
        <v>3.6542 &gt; 1.761</v>
      </c>
      <c r="N313" s="2"/>
      <c r="O313" s="5" t="b">
        <v>1</v>
      </c>
    </row>
    <row r="314" spans="1:21">
      <c r="B314" s="128"/>
      <c r="C314" s="128"/>
      <c r="D314" s="128"/>
      <c r="E314" s="128"/>
      <c r="F314" s="128"/>
      <c r="G314" s="128"/>
      <c r="H314" s="128"/>
      <c r="I314" s="128"/>
      <c r="J314" s="128"/>
      <c r="M314" s="2" t="str">
        <f>IF(O297&lt;&gt;"both","",ROUND(O312,4)&amp;O308)</f>
        <v/>
      </c>
      <c r="N314" s="2"/>
      <c r="O314" s="5"/>
    </row>
    <row r="315" spans="1:21">
      <c r="B315" s="1"/>
      <c r="L315" s="17"/>
      <c r="M315" s="17"/>
      <c r="N315" s="17"/>
    </row>
    <row r="316" spans="1:21">
      <c r="A316" s="1" t="s">
        <v>81</v>
      </c>
      <c r="K316" s="1">
        <v>4</v>
      </c>
      <c r="L316" s="1" t="s">
        <v>108</v>
      </c>
      <c r="M316" s="9"/>
      <c r="N316" s="9"/>
      <c r="O316" s="9"/>
    </row>
    <row r="317" spans="1:21">
      <c r="B317" s="1" t="s">
        <v>1</v>
      </c>
      <c r="C317" s="35"/>
      <c r="K317" s="9"/>
      <c r="L317" t="str">
        <f>"Reject the null hypothesis if p-value is &lt; "&amp;O298</f>
        <v>Reject the null hypothesis if p-value is &lt; 0.05</v>
      </c>
    </row>
    <row r="318" spans="1:21">
      <c r="B318" t="str">
        <f>N300</f>
        <v>H0</v>
      </c>
      <c r="C318" s="35" t="str">
        <f>O300</f>
        <v>mu &lt;= 100</v>
      </c>
      <c r="K318" s="9"/>
      <c r="L318" s="9"/>
      <c r="M318" s="9"/>
      <c r="N318" s="31" t="s">
        <v>104</v>
      </c>
      <c r="O318" s="46">
        <f>ROUND(O312,3)</f>
        <v>3.6539999999999999</v>
      </c>
      <c r="Q318" s="36"/>
      <c r="R318" s="36"/>
    </row>
    <row r="319" spans="1:21">
      <c r="B319" t="str">
        <f>N301</f>
        <v>H1</v>
      </c>
      <c r="C319" s="35" t="str">
        <f>O301</f>
        <v>mu &gt; 100</v>
      </c>
      <c r="K319" s="9"/>
      <c r="L319" s="9"/>
      <c r="M319" s="9"/>
      <c r="N319" s="31" t="s">
        <v>45</v>
      </c>
      <c r="O319" s="47">
        <f>O299</f>
        <v>14</v>
      </c>
      <c r="P319" s="9"/>
      <c r="Q319" s="36"/>
      <c r="R319" s="36"/>
    </row>
    <row r="320" spans="1:21">
      <c r="L320" s="9"/>
      <c r="M320" s="17"/>
      <c r="N320" s="2" t="s">
        <v>105</v>
      </c>
      <c r="O320" s="45">
        <v>5.0000000000000001E-4</v>
      </c>
      <c r="P320" t="s">
        <v>91</v>
      </c>
      <c r="Q320" s="36"/>
      <c r="R320" s="36"/>
    </row>
    <row r="321" spans="2:24">
      <c r="B321" s="1" t="s">
        <v>110</v>
      </c>
      <c r="N321" s="2" t="s">
        <v>106</v>
      </c>
      <c r="O321" s="26">
        <v>5.0000000000000001E-3</v>
      </c>
      <c r="P321" t="s">
        <v>91</v>
      </c>
      <c r="Q321" s="36"/>
      <c r="R321" s="36"/>
    </row>
    <row r="322" spans="2:24">
      <c r="B322" t="str">
        <f>L311</f>
        <v>Reject the null hypothesis if t &gt; 1.761</v>
      </c>
      <c r="N322" s="31" t="s">
        <v>25</v>
      </c>
      <c r="O322" t="str">
        <f>ROUND(O320,3)&amp;" &lt; p-value &lt; "&amp;ROUND(O321,3)</f>
        <v>0.001 &lt; p-value &lt; 0.005</v>
      </c>
    </row>
    <row r="323" spans="2:24">
      <c r="B323" t="str">
        <f>L317</f>
        <v>Reject the null hypothesis if p-value is &lt; 0.05</v>
      </c>
      <c r="N323" s="31" t="s">
        <v>25</v>
      </c>
      <c r="O323" s="82">
        <f>1-_xlfn.T.DIST(O318,O294-1,TRUE)</f>
        <v>1.302064927946156E-3</v>
      </c>
    </row>
    <row r="324" spans="2:24">
      <c r="N324" s="31" t="s">
        <v>63</v>
      </c>
      <c r="O324" s="25">
        <f>O298</f>
        <v>5.0000000000000044E-2</v>
      </c>
    </row>
    <row r="325" spans="2:24">
      <c r="B325" s="1" t="s">
        <v>3</v>
      </c>
      <c r="N325" s="31" t="s">
        <v>109</v>
      </c>
      <c r="O325" s="2" t="b">
        <f>O323&lt;=O324</f>
        <v>1</v>
      </c>
    </row>
    <row r="326" spans="2:24">
      <c r="B326" s="2" t="s">
        <v>82</v>
      </c>
      <c r="C326" s="8">
        <f>O312</f>
        <v>3.6542023977984592</v>
      </c>
      <c r="K326" s="1">
        <v>5</v>
      </c>
      <c r="L326" s="1" t="s">
        <v>69</v>
      </c>
    </row>
    <row r="327" spans="2:24">
      <c r="B327" s="2" t="s">
        <v>25</v>
      </c>
      <c r="C327" s="8">
        <f>AA296</f>
        <v>1.3015427061343187E-3</v>
      </c>
      <c r="K327" s="1"/>
      <c r="L327" s="1"/>
      <c r="M327" s="34" t="str">
        <f>IFERROR(IF(O325,"Reject H0 ("&amp;O300&amp;")","Fail to reject H0 ("&amp;O300&amp;")"),"")</f>
        <v>Reject H0 (mu &lt;= 100)</v>
      </c>
      <c r="V327" t="s">
        <v>53</v>
      </c>
    </row>
    <row r="328" spans="2:24" ht="12.75" thickBot="1">
      <c r="K328" s="1"/>
      <c r="L328" s="1"/>
      <c r="M328" t="s">
        <v>132</v>
      </c>
    </row>
    <row r="329" spans="2:24">
      <c r="B329" s="1" t="s">
        <v>4</v>
      </c>
      <c r="V329" s="30"/>
      <c r="W329" s="30" t="s">
        <v>131</v>
      </c>
      <c r="X329" s="30" t="s">
        <v>52</v>
      </c>
    </row>
    <row r="330" spans="2:24">
      <c r="B330" t="str">
        <f>M327</f>
        <v>Reject H0 (mu &lt;= 100)</v>
      </c>
      <c r="U330" s="2" t="s">
        <v>14</v>
      </c>
      <c r="V330" s="28" t="s">
        <v>54</v>
      </c>
      <c r="W330" s="28">
        <v>109.4</v>
      </c>
      <c r="X330" s="28">
        <v>0</v>
      </c>
    </row>
    <row r="331" spans="2:24">
      <c r="B331" t="str">
        <f>M328</f>
        <v>It is reasonable to conclude that the mean number of customers using the self-checkout system is more than 100 per day</v>
      </c>
      <c r="U331" s="2" t="s">
        <v>75</v>
      </c>
      <c r="V331" s="28" t="s">
        <v>55</v>
      </c>
      <c r="W331" s="28">
        <v>99.257142857142867</v>
      </c>
      <c r="X331" s="28">
        <v>0</v>
      </c>
    </row>
    <row r="332" spans="2:24">
      <c r="U332" s="2" t="s">
        <v>15</v>
      </c>
      <c r="V332" s="28" t="s">
        <v>56</v>
      </c>
      <c r="W332" s="28">
        <v>15</v>
      </c>
      <c r="X332" s="28">
        <v>2</v>
      </c>
    </row>
    <row r="333" spans="2:24">
      <c r="B333" s="1" t="s">
        <v>5</v>
      </c>
      <c r="U333" s="2" t="s">
        <v>12</v>
      </c>
      <c r="V333" s="28" t="s">
        <v>57</v>
      </c>
      <c r="W333" s="28">
        <v>100</v>
      </c>
      <c r="X333" s="28"/>
    </row>
    <row r="334" spans="2:24">
      <c r="B334" s="42">
        <f>AA296</f>
        <v>1.3015427061343187E-3</v>
      </c>
      <c r="C334" t="str">
        <f>IF(B334&lt;&gt;"","If H0 is true, the probability of finding a sample mean this extreme is "&amp;ROUND(B334,4),"")</f>
        <v>If H0 is true, the probability of finding a sample mean this extreme is 0.0013</v>
      </c>
      <c r="U334" s="2" t="s">
        <v>45</v>
      </c>
      <c r="V334" s="28" t="s">
        <v>45</v>
      </c>
      <c r="W334" s="28">
        <v>14</v>
      </c>
      <c r="X334" s="28"/>
    </row>
    <row r="335" spans="2:24">
      <c r="U335" s="2" t="s">
        <v>21</v>
      </c>
      <c r="V335" s="28" t="s">
        <v>58</v>
      </c>
      <c r="W335" s="28">
        <v>3.6542023977984592</v>
      </c>
      <c r="X335" s="28"/>
    </row>
    <row r="336" spans="2:24">
      <c r="U336" s="2" t="str">
        <f>IF(O297="both","","p-value")</f>
        <v>p-value</v>
      </c>
      <c r="V336" s="28" t="s">
        <v>59</v>
      </c>
      <c r="W336" s="28">
        <v>1.3015427061343187E-3</v>
      </c>
      <c r="X336" s="28"/>
    </row>
    <row r="337" spans="21:24">
      <c r="U337" s="2" t="str">
        <f>IF(O297="both","","critical value")</f>
        <v>critical value</v>
      </c>
      <c r="V337" s="28" t="s">
        <v>60</v>
      </c>
      <c r="W337" s="28">
        <v>1.7613101357748921</v>
      </c>
      <c r="X337" s="28"/>
    </row>
    <row r="338" spans="21:24">
      <c r="U338" t="str">
        <f>IF(NOT(O297="both"),"","p-value")</f>
        <v/>
      </c>
      <c r="V338" s="28" t="s">
        <v>61</v>
      </c>
      <c r="W338" s="28">
        <v>2.6030854122686374E-3</v>
      </c>
      <c r="X338" s="28"/>
    </row>
    <row r="339" spans="21:24" ht="12.75" thickBot="1">
      <c r="U339" t="str">
        <f>IF(NOT(O297="both"),"","critical value")</f>
        <v/>
      </c>
      <c r="V339" s="29" t="s">
        <v>62</v>
      </c>
      <c r="W339" s="29">
        <v>2.1447866879178044</v>
      </c>
      <c r="X339" s="29"/>
    </row>
  </sheetData>
  <mergeCells count="11">
    <mergeCell ref="B90:J93"/>
    <mergeCell ref="B2:J13"/>
    <mergeCell ref="B43:J54"/>
    <mergeCell ref="B137:J140"/>
    <mergeCell ref="B313:J314"/>
    <mergeCell ref="B156:J157"/>
    <mergeCell ref="B186:J189"/>
    <mergeCell ref="B205:J206"/>
    <mergeCell ref="B238:J241"/>
    <mergeCell ref="B257:J258"/>
    <mergeCell ref="B290:J293"/>
  </mergeCells>
  <dataValidations count="1">
    <dataValidation type="list" allowBlank="1" showInputMessage="1" showErrorMessage="1" sqref="O50 O9 O97 O144 O193 O245 O297" xr:uid="{9ACDF434-4C30-4F1A-AC24-1569F7A428C3}">
      <formula1>"left, right, both"</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D206-F66A-477D-969F-923F4D603F11}">
  <dimension ref="A1:D21"/>
  <sheetViews>
    <sheetView workbookViewId="0"/>
  </sheetViews>
  <sheetFormatPr defaultRowHeight="12"/>
  <cols>
    <col min="1" max="1" width="5.42578125" bestFit="1" customWidth="1"/>
    <col min="2" max="3" width="10" customWidth="1"/>
  </cols>
  <sheetData>
    <row r="1" spans="1:4">
      <c r="B1" s="1" t="s">
        <v>100</v>
      </c>
    </row>
    <row r="3" spans="1:4" ht="36">
      <c r="B3" s="44" t="s">
        <v>97</v>
      </c>
      <c r="C3" s="44" t="s">
        <v>98</v>
      </c>
      <c r="D3" s="44" t="s">
        <v>99</v>
      </c>
    </row>
    <row r="4" spans="1:4">
      <c r="B4" s="37">
        <v>9820</v>
      </c>
      <c r="C4" s="37">
        <v>5.4000000000000003E-3</v>
      </c>
      <c r="D4" s="37">
        <v>0.99460000000000004</v>
      </c>
    </row>
    <row r="5" spans="1:4">
      <c r="B5" s="37">
        <v>9880</v>
      </c>
      <c r="C5" s="37">
        <v>0.1469</v>
      </c>
      <c r="D5" s="37">
        <v>0.85309999999999997</v>
      </c>
    </row>
    <row r="6" spans="1:4">
      <c r="B6" s="37">
        <v>9900</v>
      </c>
      <c r="C6" s="37">
        <v>0.29120000000000001</v>
      </c>
      <c r="D6" s="37">
        <v>0.70879999999999999</v>
      </c>
    </row>
    <row r="7" spans="1:4">
      <c r="B7" s="37">
        <v>9940</v>
      </c>
      <c r="C7" s="37">
        <v>0.67359999999999998</v>
      </c>
      <c r="D7" s="37">
        <v>0.32640000000000002</v>
      </c>
    </row>
    <row r="8" spans="1:4">
      <c r="B8" s="37">
        <v>10000</v>
      </c>
      <c r="C8" s="37">
        <v>0</v>
      </c>
      <c r="D8" s="37">
        <v>0</v>
      </c>
    </row>
    <row r="9" spans="1:4">
      <c r="B9" s="37">
        <v>10060</v>
      </c>
      <c r="C9" s="37">
        <v>0.67359999999999998</v>
      </c>
      <c r="D9" s="37">
        <v>0.32640000000000002</v>
      </c>
    </row>
    <row r="10" spans="1:4">
      <c r="B10" s="37">
        <v>10100</v>
      </c>
      <c r="C10" s="37">
        <v>0.29120000000000001</v>
      </c>
      <c r="D10" s="37">
        <v>0.70879999999999999</v>
      </c>
    </row>
    <row r="11" spans="1:4">
      <c r="B11" s="37">
        <v>10120</v>
      </c>
      <c r="C11" s="37">
        <v>0.1469</v>
      </c>
      <c r="D11" s="37">
        <v>0.85309999999999997</v>
      </c>
    </row>
    <row r="12" spans="1:4">
      <c r="B12" s="37">
        <v>10180</v>
      </c>
      <c r="C12" s="37">
        <v>5.4000000000000003E-3</v>
      </c>
      <c r="D12" s="37">
        <v>0.99460000000000004</v>
      </c>
    </row>
    <row r="14" spans="1:4">
      <c r="A14" s="1" t="s">
        <v>101</v>
      </c>
      <c r="B14" t="s">
        <v>102</v>
      </c>
    </row>
    <row r="15" spans="1:4">
      <c r="C15" t="s">
        <v>15</v>
      </c>
      <c r="D15" s="5">
        <v>100</v>
      </c>
    </row>
    <row r="16" spans="1:4">
      <c r="C16" t="s">
        <v>13</v>
      </c>
      <c r="D16" s="5">
        <v>400</v>
      </c>
    </row>
    <row r="17" spans="3:4">
      <c r="C17" t="s">
        <v>14</v>
      </c>
      <c r="D17" s="5">
        <v>9922</v>
      </c>
    </row>
    <row r="18" spans="3:4">
      <c r="C18" t="s">
        <v>12</v>
      </c>
      <c r="D18" s="5">
        <v>9880</v>
      </c>
    </row>
    <row r="19" spans="3:4">
      <c r="C19" t="s">
        <v>29</v>
      </c>
      <c r="D19" s="2">
        <f>(D17-D18) / (D16/SQRT(D15))</f>
        <v>1.05</v>
      </c>
    </row>
    <row r="20" spans="3:4">
      <c r="C20" s="2" t="s">
        <v>103</v>
      </c>
      <c r="D20" s="8">
        <f>_xlfn.NORM.S.DIST(D19,TRUE)-0.5</f>
        <v>0.35314094362410409</v>
      </c>
    </row>
    <row r="21" spans="3:4">
      <c r="C21" t="str">
        <f>"P(&gt;"&amp;D19&amp;")"</f>
        <v>P(&gt;1.05)</v>
      </c>
      <c r="D21" s="8">
        <f>0.5-D20</f>
        <v>0.14685905637589591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E9CB-BEC3-4586-AB12-4373DD12DDCD}">
  <dimension ref="A1:W30"/>
  <sheetViews>
    <sheetView showGridLines="0" zoomScaleNormal="100" workbookViewId="0">
      <selection activeCell="A3" sqref="A3"/>
    </sheetView>
  </sheetViews>
  <sheetFormatPr defaultRowHeight="12"/>
  <cols>
    <col min="1" max="1" width="5.7109375" customWidth="1"/>
    <col min="10" max="10" width="7" customWidth="1"/>
    <col min="13" max="13" width="8.7109375" customWidth="1"/>
    <col min="15" max="15" width="13.140625" customWidth="1"/>
    <col min="16" max="16" width="2.42578125" customWidth="1"/>
    <col min="17" max="17" width="7" customWidth="1"/>
    <col min="18" max="19" width="5.140625" customWidth="1"/>
    <col min="20" max="20" width="3.5703125" customWidth="1"/>
  </cols>
  <sheetData>
    <row r="1" spans="1:23">
      <c r="A1" s="1" t="s">
        <v>170</v>
      </c>
    </row>
    <row r="2" spans="1:23" ht="12.75" thickBot="1">
      <c r="A2" s="1" t="s">
        <v>80</v>
      </c>
      <c r="J2" s="1" t="s">
        <v>81</v>
      </c>
    </row>
    <row r="3" spans="1:23">
      <c r="A3" s="1" t="s">
        <v>145</v>
      </c>
      <c r="B3" s="128" t="s">
        <v>146</v>
      </c>
      <c r="C3" s="128"/>
      <c r="D3" s="128"/>
      <c r="E3" s="128"/>
      <c r="F3" s="128"/>
      <c r="G3" s="128"/>
      <c r="H3" s="128"/>
      <c r="I3" s="128"/>
      <c r="J3" s="64" t="s">
        <v>165</v>
      </c>
      <c r="K3" s="50"/>
      <c r="L3" s="72"/>
      <c r="M3" s="50"/>
      <c r="N3" s="50"/>
      <c r="O3" s="51"/>
      <c r="Q3" s="64" t="s">
        <v>164</v>
      </c>
      <c r="R3" s="50"/>
      <c r="S3" s="50"/>
      <c r="T3" s="50"/>
      <c r="U3" s="50"/>
      <c r="V3" s="50"/>
      <c r="W3" s="51"/>
    </row>
    <row r="4" spans="1:23">
      <c r="A4" s="1"/>
      <c r="B4" s="128"/>
      <c r="C4" s="128"/>
      <c r="D4" s="128"/>
      <c r="E4" s="128"/>
      <c r="F4" s="128"/>
      <c r="G4" s="128"/>
      <c r="H4" s="128"/>
      <c r="I4" s="128"/>
      <c r="J4" s="52"/>
      <c r="K4" s="73"/>
      <c r="L4" s="74" t="s">
        <v>147</v>
      </c>
      <c r="M4" s="88">
        <v>100</v>
      </c>
      <c r="N4" s="53"/>
      <c r="O4" s="54"/>
      <c r="Q4" s="52"/>
      <c r="R4" s="53"/>
      <c r="S4" s="53"/>
      <c r="T4" s="53"/>
      <c r="U4" s="53"/>
      <c r="V4" s="53"/>
      <c r="W4" s="54"/>
    </row>
    <row r="5" spans="1:23">
      <c r="A5" s="1"/>
      <c r="B5" s="128"/>
      <c r="C5" s="128"/>
      <c r="D5" s="128"/>
      <c r="E5" s="128"/>
      <c r="F5" s="128"/>
      <c r="G5" s="128"/>
      <c r="H5" s="128"/>
      <c r="I5" s="128"/>
      <c r="J5" s="52"/>
      <c r="K5" s="73"/>
      <c r="L5" s="74" t="s">
        <v>148</v>
      </c>
      <c r="M5" s="88">
        <v>15</v>
      </c>
      <c r="N5" s="75" t="s">
        <v>167</v>
      </c>
      <c r="O5" s="54"/>
      <c r="Q5" s="52"/>
      <c r="R5" s="68" t="s">
        <v>166</v>
      </c>
      <c r="S5" s="67" t="s">
        <v>161</v>
      </c>
      <c r="T5" s="53"/>
      <c r="U5" s="62" t="s">
        <v>163</v>
      </c>
      <c r="V5" s="53"/>
      <c r="W5" s="54"/>
    </row>
    <row r="6" spans="1:23">
      <c r="A6" s="1"/>
      <c r="B6" s="128"/>
      <c r="C6" s="128"/>
      <c r="D6" s="128"/>
      <c r="E6" s="128"/>
      <c r="F6" s="128"/>
      <c r="G6" s="128"/>
      <c r="H6" s="128"/>
      <c r="I6" s="128"/>
      <c r="J6" s="52"/>
      <c r="K6" s="73"/>
      <c r="L6" s="74" t="s">
        <v>151</v>
      </c>
      <c r="M6" s="88">
        <v>0.05</v>
      </c>
      <c r="N6" s="53"/>
      <c r="O6" s="54"/>
      <c r="Q6" s="52"/>
      <c r="R6" s="53">
        <v>120</v>
      </c>
      <c r="S6" s="53">
        <v>0</v>
      </c>
      <c r="T6" s="53"/>
      <c r="U6" s="53"/>
      <c r="V6" s="53"/>
      <c r="W6" s="54"/>
    </row>
    <row r="7" spans="1:23" ht="12.75" thickBot="1">
      <c r="A7" s="1"/>
      <c r="B7" s="128"/>
      <c r="C7" s="128"/>
      <c r="D7" s="128"/>
      <c r="E7" s="128"/>
      <c r="F7" s="128"/>
      <c r="G7" s="128"/>
      <c r="H7" s="128"/>
      <c r="I7" s="128"/>
      <c r="J7" s="52"/>
      <c r="K7" s="53"/>
      <c r="L7" s="53"/>
      <c r="M7" s="53"/>
      <c r="N7" s="53"/>
      <c r="O7" s="54"/>
      <c r="Q7" s="52"/>
      <c r="R7" s="53">
        <v>108</v>
      </c>
      <c r="S7" s="53">
        <v>0</v>
      </c>
      <c r="T7" s="53"/>
      <c r="U7" s="69"/>
      <c r="V7" s="68" t="s">
        <v>131</v>
      </c>
      <c r="W7" s="70"/>
    </row>
    <row r="8" spans="1:23">
      <c r="A8" s="1"/>
      <c r="B8" s="128"/>
      <c r="C8" s="128"/>
      <c r="D8" s="128"/>
      <c r="E8" s="128"/>
      <c r="F8" s="128"/>
      <c r="G8" s="128"/>
      <c r="H8" s="128"/>
      <c r="I8" s="128"/>
      <c r="J8" s="65" t="s">
        <v>141</v>
      </c>
      <c r="K8" s="50"/>
      <c r="L8" s="76" t="s">
        <v>171</v>
      </c>
      <c r="M8" s="50" t="s">
        <v>153</v>
      </c>
      <c r="N8" s="50"/>
      <c r="O8" s="51"/>
      <c r="Q8" s="52"/>
      <c r="R8" s="53">
        <v>120</v>
      </c>
      <c r="S8" s="53"/>
      <c r="T8" s="53"/>
      <c r="U8" s="66" t="s">
        <v>54</v>
      </c>
      <c r="V8" s="28">
        <v>109.4</v>
      </c>
      <c r="W8" s="71"/>
    </row>
    <row r="9" spans="1:23">
      <c r="A9" s="1"/>
      <c r="B9" s="128"/>
      <c r="C9" s="128"/>
      <c r="D9" s="128"/>
      <c r="E9" s="128"/>
      <c r="F9" s="128"/>
      <c r="G9" s="128"/>
      <c r="H9" s="128"/>
      <c r="I9" s="128"/>
      <c r="J9" s="52"/>
      <c r="K9" s="53"/>
      <c r="L9" s="77" t="s">
        <v>172</v>
      </c>
      <c r="M9" s="53" t="s">
        <v>154</v>
      </c>
      <c r="N9" s="53"/>
      <c r="O9" s="54"/>
      <c r="Q9" s="52"/>
      <c r="R9" s="53">
        <v>114</v>
      </c>
      <c r="S9" s="53"/>
      <c r="T9" s="53"/>
      <c r="U9" s="66" t="s">
        <v>55</v>
      </c>
      <c r="V9" s="28">
        <v>99.257142857142867</v>
      </c>
      <c r="W9" s="71"/>
    </row>
    <row r="10" spans="1:23" ht="12.75" thickBot="1">
      <c r="A10" s="1"/>
      <c r="B10" s="128"/>
      <c r="C10" s="128"/>
      <c r="D10" s="128"/>
      <c r="E10" s="128"/>
      <c r="F10" s="128"/>
      <c r="G10" s="128"/>
      <c r="H10" s="128"/>
      <c r="I10" s="128"/>
      <c r="J10" s="55"/>
      <c r="K10" s="56"/>
      <c r="L10" s="56"/>
      <c r="M10" s="56"/>
      <c r="N10" s="56"/>
      <c r="O10" s="57"/>
      <c r="P10" s="53"/>
      <c r="Q10" s="52"/>
      <c r="R10" s="53">
        <v>118</v>
      </c>
      <c r="S10" s="53"/>
      <c r="T10" s="53"/>
      <c r="U10" s="66" t="s">
        <v>56</v>
      </c>
      <c r="V10" s="28">
        <v>15</v>
      </c>
      <c r="W10" s="71"/>
    </row>
    <row r="11" spans="1:23">
      <c r="A11" s="1"/>
      <c r="B11" s="1"/>
      <c r="C11" s="1"/>
      <c r="D11" s="1"/>
      <c r="E11" s="1"/>
      <c r="F11" s="1"/>
      <c r="G11" s="1"/>
      <c r="H11" s="1"/>
      <c r="I11" s="1"/>
      <c r="J11" s="65" t="s">
        <v>142</v>
      </c>
      <c r="K11" s="50"/>
      <c r="L11" s="50"/>
      <c r="M11" s="50"/>
      <c r="N11" s="50"/>
      <c r="O11" s="51"/>
      <c r="P11" s="53"/>
      <c r="Q11" s="52"/>
      <c r="R11" s="53">
        <v>91</v>
      </c>
      <c r="S11" s="53"/>
      <c r="T11" s="53"/>
      <c r="U11" s="66" t="s">
        <v>162</v>
      </c>
      <c r="V11" s="28">
        <v>100</v>
      </c>
      <c r="W11" s="71"/>
    </row>
    <row r="12" spans="1:23">
      <c r="A12" s="1"/>
      <c r="B12" s="1" t="s">
        <v>131</v>
      </c>
      <c r="C12" s="1"/>
      <c r="E12" s="1"/>
      <c r="F12" s="1"/>
      <c r="G12" s="1"/>
      <c r="H12" s="1"/>
      <c r="I12" s="1"/>
      <c r="J12" s="52"/>
      <c r="K12" s="53"/>
      <c r="L12" s="60" t="s">
        <v>63</v>
      </c>
      <c r="M12" s="78">
        <f>M6</f>
        <v>0.05</v>
      </c>
      <c r="N12" s="53"/>
      <c r="O12" s="54"/>
      <c r="P12" s="53"/>
      <c r="Q12" s="52"/>
      <c r="R12" s="53">
        <v>118</v>
      </c>
      <c r="S12" s="53"/>
      <c r="T12" s="53"/>
      <c r="U12" s="66" t="s">
        <v>45</v>
      </c>
      <c r="V12" s="28">
        <v>14</v>
      </c>
      <c r="W12" s="71"/>
    </row>
    <row r="13" spans="1:23" ht="12.75" thickBot="1">
      <c r="A13" s="1"/>
      <c r="B13" s="1">
        <v>120</v>
      </c>
      <c r="C13" s="1"/>
      <c r="E13" s="1"/>
      <c r="G13" s="1"/>
      <c r="H13" s="1"/>
      <c r="I13" s="1"/>
      <c r="J13" s="59"/>
      <c r="K13" s="56"/>
      <c r="L13" s="56"/>
      <c r="M13" s="56"/>
      <c r="N13" s="56"/>
      <c r="O13" s="57"/>
      <c r="P13" s="53"/>
      <c r="Q13" s="52"/>
      <c r="R13" s="53">
        <v>92</v>
      </c>
      <c r="S13" s="53"/>
      <c r="T13" s="53"/>
      <c r="U13" s="66" t="s">
        <v>58</v>
      </c>
      <c r="V13" s="28">
        <v>3.6542023977984592</v>
      </c>
      <c r="W13" s="71"/>
    </row>
    <row r="14" spans="1:23">
      <c r="A14" s="1"/>
      <c r="B14" s="1">
        <v>108</v>
      </c>
      <c r="C14" s="1"/>
      <c r="E14" s="1"/>
      <c r="G14" s="1"/>
      <c r="H14" s="1"/>
      <c r="I14" s="1"/>
      <c r="J14" s="65" t="s">
        <v>143</v>
      </c>
      <c r="K14" s="50"/>
      <c r="L14" s="50"/>
      <c r="M14" s="50"/>
      <c r="N14" s="50"/>
      <c r="O14" s="51"/>
      <c r="P14" s="53"/>
      <c r="Q14" s="52"/>
      <c r="R14" s="53">
        <v>104</v>
      </c>
      <c r="S14" s="53"/>
      <c r="T14" s="53"/>
      <c r="U14" s="66" t="s">
        <v>59</v>
      </c>
      <c r="V14" s="83">
        <v>1.3015427061343187E-3</v>
      </c>
      <c r="W14" s="71"/>
    </row>
    <row r="15" spans="1:23">
      <c r="A15" s="1"/>
      <c r="B15" s="1">
        <v>120</v>
      </c>
      <c r="C15" s="1"/>
      <c r="E15" s="1"/>
      <c r="G15" s="1"/>
      <c r="H15" s="1"/>
      <c r="I15" s="1"/>
      <c r="J15" s="58"/>
      <c r="K15" s="53"/>
      <c r="L15" s="60" t="s">
        <v>152</v>
      </c>
      <c r="M15" s="78" t="s">
        <v>155</v>
      </c>
      <c r="N15" s="53"/>
      <c r="O15" s="54"/>
      <c r="P15" s="53"/>
      <c r="Q15" s="52"/>
      <c r="R15" s="53">
        <v>104</v>
      </c>
      <c r="S15" s="53"/>
      <c r="T15" s="53"/>
      <c r="U15" s="66" t="s">
        <v>60</v>
      </c>
      <c r="V15" s="28">
        <v>1.7613101357748921</v>
      </c>
      <c r="W15" s="71"/>
    </row>
    <row r="16" spans="1:23">
      <c r="A16" s="1"/>
      <c r="B16" s="1">
        <v>114</v>
      </c>
      <c r="C16" s="1"/>
      <c r="E16" s="1"/>
      <c r="G16" s="1"/>
      <c r="H16" s="1"/>
      <c r="I16" s="1"/>
      <c r="J16" s="58"/>
      <c r="K16" s="53"/>
      <c r="L16" s="60" t="s">
        <v>149</v>
      </c>
      <c r="M16" s="85">
        <f>AVERAGE(B13:B27)</f>
        <v>109.4</v>
      </c>
      <c r="N16" s="75" t="s">
        <v>168</v>
      </c>
      <c r="O16" s="54"/>
      <c r="P16" s="53"/>
      <c r="Q16" s="52"/>
      <c r="R16" s="53">
        <v>112</v>
      </c>
      <c r="S16" s="53"/>
      <c r="T16" s="53"/>
      <c r="U16" s="66"/>
      <c r="V16" s="66" t="str">
        <f>ROUND(V14,4)&amp;" &lt; "&amp;ROUND(M6,4)</f>
        <v>0.0013 &lt; 0.05</v>
      </c>
      <c r="W16" s="71"/>
    </row>
    <row r="17" spans="1:23">
      <c r="A17" s="1"/>
      <c r="B17" s="1">
        <v>118</v>
      </c>
      <c r="C17" s="1"/>
      <c r="E17" s="1"/>
      <c r="G17" s="1"/>
      <c r="H17" s="1"/>
      <c r="I17" s="1"/>
      <c r="J17" s="58"/>
      <c r="K17" s="53"/>
      <c r="L17" s="60" t="s">
        <v>150</v>
      </c>
      <c r="M17" s="86">
        <f>_xlfn.STDEV.S(B13:B27)</f>
        <v>9.9627879058596278</v>
      </c>
      <c r="N17" s="75" t="s">
        <v>169</v>
      </c>
      <c r="O17" s="54"/>
      <c r="P17" s="53"/>
      <c r="Q17" s="52"/>
      <c r="R17" s="53">
        <v>97</v>
      </c>
      <c r="S17" s="53"/>
      <c r="T17" s="53"/>
      <c r="U17" s="66"/>
      <c r="V17" s="53" t="s">
        <v>160</v>
      </c>
      <c r="W17" s="71"/>
    </row>
    <row r="18" spans="1:23">
      <c r="A18" s="1"/>
      <c r="B18" s="1">
        <v>91</v>
      </c>
      <c r="C18" s="1"/>
      <c r="E18" s="1"/>
      <c r="G18" s="1"/>
      <c r="H18" s="1"/>
      <c r="I18" s="1"/>
      <c r="J18" s="52"/>
      <c r="K18" s="53"/>
      <c r="L18" s="60" t="s">
        <v>156</v>
      </c>
      <c r="M18" s="86">
        <f>(M16-M4)/(M17/SQRT(M5))</f>
        <v>3.6542023977984592</v>
      </c>
      <c r="N18" s="75" t="s">
        <v>175</v>
      </c>
      <c r="O18" s="54"/>
      <c r="P18" s="53"/>
      <c r="Q18" s="52"/>
      <c r="R18" s="53">
        <v>118</v>
      </c>
      <c r="S18" s="53"/>
      <c r="T18" s="53"/>
      <c r="U18" s="53"/>
      <c r="W18" s="54"/>
    </row>
    <row r="19" spans="1:23">
      <c r="A19" s="1"/>
      <c r="B19" s="1">
        <v>118</v>
      </c>
      <c r="C19" s="1"/>
      <c r="E19" s="1"/>
      <c r="G19" s="1"/>
      <c r="H19" s="1"/>
      <c r="I19" s="1"/>
      <c r="J19" s="52"/>
      <c r="K19" s="53"/>
      <c r="L19" s="60" t="s">
        <v>45</v>
      </c>
      <c r="M19" s="78">
        <f>M5-1</f>
        <v>14</v>
      </c>
      <c r="N19" s="81" t="s">
        <v>176</v>
      </c>
      <c r="O19" s="54"/>
      <c r="P19" s="53"/>
      <c r="Q19" s="52"/>
      <c r="R19" s="53">
        <v>108</v>
      </c>
      <c r="S19" s="53"/>
      <c r="T19" s="53"/>
      <c r="U19" s="53"/>
      <c r="V19" s="62" t="s">
        <v>158</v>
      </c>
      <c r="W19" s="54"/>
    </row>
    <row r="20" spans="1:23">
      <c r="A20" s="1"/>
      <c r="B20" s="1">
        <v>92</v>
      </c>
      <c r="C20" s="1"/>
      <c r="E20" s="1"/>
      <c r="G20" s="1"/>
      <c r="H20" s="1"/>
      <c r="I20" s="1"/>
      <c r="J20" s="52"/>
      <c r="K20" s="53"/>
      <c r="L20" s="53">
        <v>5.0000000000000001E-3</v>
      </c>
      <c r="M20" s="78" t="s">
        <v>157</v>
      </c>
      <c r="N20" s="78">
        <v>5.0000000000000001E-4</v>
      </c>
      <c r="O20" s="54"/>
      <c r="P20" s="53"/>
      <c r="Q20" s="52"/>
      <c r="R20" s="53">
        <v>117</v>
      </c>
      <c r="S20" s="53"/>
      <c r="T20" s="53"/>
      <c r="U20" s="53"/>
      <c r="V20" s="53"/>
      <c r="W20" s="54"/>
    </row>
    <row r="21" spans="1:23" ht="12.75" thickBot="1">
      <c r="A21" s="1"/>
      <c r="B21" s="1">
        <v>104</v>
      </c>
      <c r="C21" s="1"/>
      <c r="E21" s="1"/>
      <c r="G21" s="1"/>
      <c r="H21" s="1"/>
      <c r="I21" s="1"/>
      <c r="J21" s="52"/>
      <c r="K21" s="53"/>
      <c r="L21" s="79" t="s">
        <v>173</v>
      </c>
      <c r="M21" s="127">
        <f>ROUND(1-_xlfn.T.DIST(M18,M5-1,TRUE),4)</f>
        <v>1.2999999999999999E-3</v>
      </c>
      <c r="N21" s="80" t="s">
        <v>174</v>
      </c>
      <c r="O21" s="54"/>
      <c r="P21" s="53"/>
      <c r="Q21" s="61"/>
      <c r="R21" s="56"/>
      <c r="S21" s="56"/>
      <c r="T21" s="56"/>
      <c r="U21" s="56"/>
      <c r="V21" s="56"/>
      <c r="W21" s="57"/>
    </row>
    <row r="22" spans="1:23" ht="12.75" thickBot="1">
      <c r="A22" s="1"/>
      <c r="B22" s="1">
        <v>104</v>
      </c>
      <c r="C22" s="1"/>
      <c r="E22" s="1"/>
      <c r="G22" s="1"/>
      <c r="H22" s="1"/>
      <c r="I22" s="1"/>
      <c r="J22" s="61"/>
      <c r="K22" s="56"/>
      <c r="L22" s="56"/>
      <c r="M22" s="87" t="s">
        <v>160</v>
      </c>
      <c r="N22" s="56"/>
      <c r="O22" s="57"/>
      <c r="P22" s="53"/>
    </row>
    <row r="23" spans="1:23">
      <c r="B23" s="1">
        <v>112</v>
      </c>
      <c r="J23" s="65" t="s">
        <v>144</v>
      </c>
      <c r="K23" s="50"/>
      <c r="L23" s="50"/>
      <c r="M23" s="50"/>
      <c r="N23" s="50"/>
      <c r="O23" s="51"/>
      <c r="P23" s="53"/>
      <c r="Q23" s="84" t="s">
        <v>177</v>
      </c>
    </row>
    <row r="24" spans="1:23">
      <c r="B24" s="1">
        <v>97</v>
      </c>
      <c r="J24" s="58"/>
      <c r="K24" s="53"/>
      <c r="L24" s="62" t="s">
        <v>158</v>
      </c>
      <c r="M24" s="53"/>
      <c r="N24" s="53"/>
      <c r="O24" s="54"/>
      <c r="P24" s="53"/>
    </row>
    <row r="25" spans="1:23" ht="12" customHeight="1">
      <c r="B25" s="1">
        <v>118</v>
      </c>
      <c r="J25" s="52"/>
      <c r="K25" s="53"/>
      <c r="L25" s="129" t="s">
        <v>159</v>
      </c>
      <c r="M25" s="129"/>
      <c r="N25" s="129"/>
      <c r="O25" s="54"/>
      <c r="P25" s="53"/>
    </row>
    <row r="26" spans="1:23">
      <c r="B26" s="1">
        <v>108</v>
      </c>
      <c r="J26" s="52"/>
      <c r="K26" s="53"/>
      <c r="L26" s="129"/>
      <c r="M26" s="129"/>
      <c r="N26" s="129"/>
      <c r="O26" s="54"/>
      <c r="P26" s="53"/>
    </row>
    <row r="27" spans="1:23">
      <c r="B27" s="1">
        <v>117</v>
      </c>
      <c r="J27" s="52"/>
      <c r="K27" s="53"/>
      <c r="L27" s="129"/>
      <c r="M27" s="129"/>
      <c r="N27" s="129"/>
      <c r="O27" s="54"/>
      <c r="P27" s="53"/>
    </row>
    <row r="28" spans="1:23">
      <c r="J28" s="52"/>
      <c r="K28" s="53"/>
      <c r="L28" s="129"/>
      <c r="M28" s="129"/>
      <c r="N28" s="129"/>
      <c r="O28" s="54"/>
      <c r="P28" s="53"/>
    </row>
    <row r="29" spans="1:23" ht="12.75" thickBot="1">
      <c r="J29" s="63"/>
      <c r="K29" s="56"/>
      <c r="L29" s="130"/>
      <c r="M29" s="130"/>
      <c r="N29" s="130"/>
      <c r="O29" s="57"/>
      <c r="P29" s="53"/>
    </row>
    <row r="30" spans="1:23">
      <c r="J30" s="1"/>
    </row>
  </sheetData>
  <mergeCells count="2">
    <mergeCell ref="B3:I10"/>
    <mergeCell ref="L25:N29"/>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A577-E8FC-43DF-B186-763BC4F9D08F}">
  <dimension ref="A1"/>
  <sheetViews>
    <sheetView workbookViewId="0">
      <selection activeCell="V49" sqref="V49"/>
    </sheetView>
  </sheetViews>
  <sheetFormatPr defaultRowHeight="1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08F8-B880-4D45-A1FC-250770084753}">
  <dimension ref="A1:Y59"/>
  <sheetViews>
    <sheetView workbookViewId="0">
      <selection activeCell="K3" sqref="K3:W29"/>
    </sheetView>
  </sheetViews>
  <sheetFormatPr defaultRowHeight="12"/>
  <sheetData>
    <row r="1" spans="1:25">
      <c r="A1" s="1" t="s">
        <v>80</v>
      </c>
      <c r="K1" s="1" t="s">
        <v>81</v>
      </c>
    </row>
    <row r="2" spans="1:25" ht="12" customHeight="1">
      <c r="A2" s="1" t="s">
        <v>188</v>
      </c>
      <c r="B2" s="128" t="s">
        <v>201</v>
      </c>
      <c r="C2" s="128"/>
      <c r="D2" s="128"/>
      <c r="E2" s="128"/>
      <c r="F2" s="128"/>
      <c r="G2" s="128"/>
      <c r="H2" s="128"/>
      <c r="I2" s="128"/>
      <c r="K2" s="1" t="s">
        <v>211</v>
      </c>
    </row>
    <row r="3" spans="1:25">
      <c r="A3" s="1"/>
      <c r="B3" s="128"/>
      <c r="C3" s="128"/>
      <c r="D3" s="128"/>
      <c r="E3" s="128"/>
      <c r="F3" s="128"/>
      <c r="G3" s="128"/>
      <c r="H3" s="128"/>
      <c r="I3" s="128"/>
      <c r="K3" s="92" t="s">
        <v>196</v>
      </c>
      <c r="L3" s="62" t="s">
        <v>197</v>
      </c>
      <c r="M3" s="60"/>
      <c r="N3" s="53"/>
      <c r="O3" s="53"/>
      <c r="P3" s="53"/>
      <c r="R3" s="92" t="s">
        <v>144</v>
      </c>
      <c r="S3" s="62" t="s">
        <v>204</v>
      </c>
    </row>
    <row r="4" spans="1:25">
      <c r="A4" s="1"/>
      <c r="B4" s="128"/>
      <c r="C4" s="128"/>
      <c r="D4" s="128"/>
      <c r="E4" s="128"/>
      <c r="F4" s="128"/>
      <c r="G4" s="128"/>
      <c r="H4" s="128"/>
      <c r="I4" s="128"/>
      <c r="K4" s="62"/>
      <c r="L4" s="62"/>
      <c r="N4" s="60"/>
      <c r="O4" s="88" t="s">
        <v>200</v>
      </c>
      <c r="P4" s="88" t="s">
        <v>202</v>
      </c>
      <c r="T4" s="2" t="s">
        <v>213</v>
      </c>
      <c r="U4" s="43" t="str">
        <f>IF(NOT(ISERROR(FIND("!=",O12))),"Two",IF(NOT(ISERROR(FIND("&lt;",O12))),"Left","Right"))</f>
        <v>Left</v>
      </c>
      <c r="V4" s="43" t="s">
        <v>306</v>
      </c>
    </row>
    <row r="5" spans="1:25">
      <c r="A5" s="1"/>
      <c r="B5" s="128"/>
      <c r="C5" s="128"/>
      <c r="D5" s="128"/>
      <c r="E5" s="128"/>
      <c r="F5" s="128"/>
      <c r="G5" s="128"/>
      <c r="H5" s="128"/>
      <c r="I5" s="128"/>
      <c r="K5" s="102"/>
      <c r="L5" s="73"/>
      <c r="M5" s="73"/>
      <c r="N5" s="74" t="s">
        <v>148</v>
      </c>
      <c r="O5" s="88">
        <v>40</v>
      </c>
      <c r="P5" s="88">
        <v>55</v>
      </c>
      <c r="T5" s="2" t="s">
        <v>212</v>
      </c>
      <c r="U5" s="43">
        <f>IF(U4="Two",P16/2,IF(U4="Left",P16,""))</f>
        <v>0.05</v>
      </c>
      <c r="V5" s="43">
        <f>ROUND(_xlfn.NORM.S.INV(U5),3)</f>
        <v>-1.645</v>
      </c>
      <c r="W5" s="97"/>
    </row>
    <row r="6" spans="1:25">
      <c r="A6" s="1"/>
      <c r="B6" s="128"/>
      <c r="C6" s="128"/>
      <c r="D6" s="128"/>
      <c r="E6" s="128"/>
      <c r="F6" s="128"/>
      <c r="G6" s="128"/>
      <c r="H6" s="128"/>
      <c r="I6" s="128"/>
      <c r="K6" s="102"/>
      <c r="L6" s="73"/>
      <c r="M6" s="73"/>
      <c r="N6" s="74" t="s">
        <v>149</v>
      </c>
      <c r="O6" s="88">
        <v>7.6</v>
      </c>
      <c r="P6" s="88">
        <v>8.1</v>
      </c>
      <c r="T6" s="2" t="s">
        <v>214</v>
      </c>
      <c r="U6" s="43" t="str">
        <f>IF(U4="Two",1-P16/2,IF(U4="Left","",1-P16))</f>
        <v/>
      </c>
      <c r="V6" s="43" t="str">
        <f>IFERROR(ROUND(_xlfn.NORM.S.INV(U6),3),"")</f>
        <v/>
      </c>
      <c r="W6" s="97"/>
    </row>
    <row r="7" spans="1:25">
      <c r="A7" s="1"/>
      <c r="B7" s="128"/>
      <c r="C7" s="128"/>
      <c r="D7" s="128"/>
      <c r="E7" s="128"/>
      <c r="F7" s="128"/>
      <c r="G7" s="128"/>
      <c r="H7" s="128"/>
      <c r="I7" s="128"/>
      <c r="K7" s="102"/>
      <c r="L7" s="73"/>
      <c r="M7" s="73"/>
      <c r="N7" s="74" t="s">
        <v>221</v>
      </c>
      <c r="O7" s="88">
        <v>2.2999999999999998</v>
      </c>
      <c r="P7" s="88">
        <v>2.9</v>
      </c>
      <c r="U7" s="17" t="s">
        <v>210</v>
      </c>
      <c r="V7" s="27" t="str">
        <f>IF(U4="Left",P21&amp;" &lt; "&amp;V5,IF(U4="Right",P21&amp;" &gt; "&amp;V6,P21&amp;" &lt; "&amp;V5&amp;" OR "&amp;P21&amp;" &gt; "&amp;V6))</f>
        <v>z-value &lt; -1.645</v>
      </c>
      <c r="W7" s="53"/>
    </row>
    <row r="8" spans="1:25">
      <c r="A8" s="1"/>
      <c r="B8" s="128"/>
      <c r="C8" s="128"/>
      <c r="D8" s="128"/>
      <c r="E8" s="128"/>
      <c r="F8" s="128"/>
      <c r="G8" s="128"/>
      <c r="H8" s="128"/>
      <c r="I8" s="128"/>
      <c r="K8" s="102"/>
      <c r="L8" s="73"/>
      <c r="M8" s="73"/>
      <c r="N8" s="74" t="s">
        <v>151</v>
      </c>
      <c r="O8" s="88">
        <v>0.05</v>
      </c>
      <c r="P8" s="103">
        <f>O8</f>
        <v>0.05</v>
      </c>
      <c r="W8" s="53"/>
    </row>
    <row r="9" spans="1:25">
      <c r="A9" s="1"/>
      <c r="B9" s="128"/>
      <c r="C9" s="128"/>
      <c r="D9" s="128"/>
      <c r="E9" s="128"/>
      <c r="F9" s="128"/>
      <c r="G9" s="128"/>
      <c r="H9" s="128"/>
      <c r="I9" s="128"/>
      <c r="K9" s="53"/>
      <c r="L9" s="53"/>
      <c r="M9" s="53"/>
      <c r="N9" s="53"/>
      <c r="O9" s="53"/>
      <c r="P9" s="53"/>
      <c r="W9" s="53"/>
    </row>
    <row r="10" spans="1:25">
      <c r="A10" s="1"/>
      <c r="B10" s="128"/>
      <c r="C10" s="128"/>
      <c r="D10" s="128"/>
      <c r="E10" s="128"/>
      <c r="F10" s="128"/>
      <c r="G10" s="128"/>
      <c r="H10" s="128"/>
      <c r="I10" s="128"/>
      <c r="K10" s="92" t="s">
        <v>141</v>
      </c>
      <c r="L10" s="62" t="s">
        <v>198</v>
      </c>
      <c r="O10" s="53"/>
      <c r="P10" s="53"/>
      <c r="R10" s="92" t="s">
        <v>217</v>
      </c>
      <c r="S10" s="62" t="s">
        <v>216</v>
      </c>
      <c r="T10" s="53"/>
      <c r="U10" s="53"/>
      <c r="V10" s="53"/>
    </row>
    <row r="11" spans="1:25">
      <c r="A11" s="1"/>
      <c r="B11" s="128"/>
      <c r="C11" s="128"/>
      <c r="D11" s="128"/>
      <c r="E11" s="128"/>
      <c r="F11" s="128"/>
      <c r="G11" s="128"/>
      <c r="H11" s="128"/>
      <c r="I11" s="128"/>
      <c r="K11" s="53"/>
      <c r="L11" s="53"/>
      <c r="N11" s="99" t="s">
        <v>171</v>
      </c>
      <c r="O11" s="100" t="str">
        <f>"xbar"&amp;O4&amp;" &gt;= "&amp;"xbar"&amp;P4</f>
        <v>xbarGibbs &gt;= xbarCompetition</v>
      </c>
      <c r="P11" s="73"/>
      <c r="R11" s="62"/>
      <c r="S11" s="53"/>
      <c r="T11" s="2" t="s">
        <v>207</v>
      </c>
      <c r="U11" s="43">
        <f>O6-P6</f>
        <v>-0.5</v>
      </c>
    </row>
    <row r="12" spans="1:25">
      <c r="A12" s="1"/>
      <c r="B12" s="128"/>
      <c r="C12" s="128"/>
      <c r="D12" s="128"/>
      <c r="E12" s="128"/>
      <c r="F12" s="128"/>
      <c r="G12" s="128"/>
      <c r="H12" s="128"/>
      <c r="I12" s="128"/>
      <c r="K12" s="62"/>
      <c r="L12" s="53"/>
      <c r="N12" s="99" t="s">
        <v>172</v>
      </c>
      <c r="O12" s="100" t="str">
        <f>"xbar"&amp;O4&amp;" &lt; "&amp;"xbar"&amp;P4</f>
        <v>xbarGibbs &lt; xbarCompetition</v>
      </c>
      <c r="P12" s="73"/>
      <c r="R12" s="53"/>
      <c r="S12" s="53"/>
      <c r="T12" s="2"/>
      <c r="U12" s="1" t="str">
        <f>O4</f>
        <v>Gibbs</v>
      </c>
      <c r="V12" s="1" t="str">
        <f>P4</f>
        <v>Competition</v>
      </c>
    </row>
    <row r="13" spans="1:25">
      <c r="A13" s="1"/>
      <c r="B13" s="128"/>
      <c r="C13" s="128"/>
      <c r="D13" s="128"/>
      <c r="E13" s="128"/>
      <c r="F13" s="128"/>
      <c r="G13" s="128"/>
      <c r="H13" s="128"/>
      <c r="I13" s="128"/>
      <c r="L13" s="131" t="s">
        <v>220</v>
      </c>
      <c r="M13" s="131"/>
      <c r="N13" s="131"/>
      <c r="O13" s="131"/>
      <c r="P13" s="131"/>
      <c r="R13" s="53"/>
      <c r="S13" s="53"/>
      <c r="T13" s="2" t="s">
        <v>208</v>
      </c>
      <c r="U13" s="43">
        <f>O7^2/O5</f>
        <v>0.13224999999999998</v>
      </c>
      <c r="V13" s="43">
        <f>P7^2/P5</f>
        <v>0.15290909090909091</v>
      </c>
    </row>
    <row r="14" spans="1:25">
      <c r="A14" s="1"/>
      <c r="B14" s="1"/>
      <c r="C14" s="1"/>
      <c r="D14" s="1"/>
      <c r="E14" s="1"/>
      <c r="F14" s="1"/>
      <c r="G14" s="1"/>
      <c r="H14" s="1"/>
      <c r="I14" s="1"/>
      <c r="R14" s="53"/>
      <c r="S14" s="53"/>
      <c r="T14" s="2" t="str">
        <f>"Test statistic: "&amp;P21</f>
        <v>Test statistic: z-value</v>
      </c>
      <c r="U14" s="43">
        <f>ROUND(U11/SQRT(U13+V13),3)</f>
        <v>-0.93600000000000005</v>
      </c>
      <c r="V14" s="43"/>
      <c r="Y14" s="53"/>
    </row>
    <row r="15" spans="1:25">
      <c r="A15" s="1"/>
      <c r="B15" s="1" t="s">
        <v>195</v>
      </c>
      <c r="C15" s="1"/>
      <c r="D15" s="1"/>
      <c r="E15" s="1"/>
      <c r="F15" s="1"/>
      <c r="G15" s="1"/>
      <c r="H15" s="1"/>
      <c r="I15" s="1"/>
      <c r="K15" s="92" t="s">
        <v>142</v>
      </c>
      <c r="L15" s="62" t="s">
        <v>199</v>
      </c>
      <c r="M15" s="53"/>
      <c r="N15" s="53"/>
      <c r="O15" s="53"/>
      <c r="P15" s="53"/>
      <c r="U15" t="str">
        <f>SUBSTITUTE(V7,P21,U14)</f>
        <v>-0.936 &lt; -1.645</v>
      </c>
      <c r="Y15" s="53"/>
    </row>
    <row r="16" spans="1:25">
      <c r="B16" s="1" t="s">
        <v>189</v>
      </c>
      <c r="K16" s="53"/>
      <c r="L16" s="53"/>
      <c r="O16" s="94" t="s">
        <v>63</v>
      </c>
      <c r="P16" s="98">
        <f>O8</f>
        <v>0.05</v>
      </c>
      <c r="T16" s="43"/>
      <c r="U16" s="3" t="b">
        <v>0</v>
      </c>
      <c r="Y16" s="53"/>
    </row>
    <row r="17" spans="1:25" ht="12" customHeight="1">
      <c r="B17" s="1" t="s">
        <v>190</v>
      </c>
      <c r="K17" s="93"/>
      <c r="L17" s="53"/>
      <c r="M17" s="53"/>
      <c r="N17" s="53"/>
      <c r="O17" s="53"/>
      <c r="P17" s="53"/>
      <c r="S17" s="62" t="str">
        <f>IF(U16,"Reject H0", "Fail to Reject H0")</f>
        <v>Fail to Reject H0</v>
      </c>
      <c r="Y17" s="53"/>
    </row>
    <row r="18" spans="1:25">
      <c r="B18" s="1" t="s">
        <v>191</v>
      </c>
      <c r="K18" s="92" t="s">
        <v>143</v>
      </c>
      <c r="L18" s="62" t="s">
        <v>205</v>
      </c>
      <c r="M18" s="53"/>
      <c r="N18" s="53"/>
      <c r="O18" s="53"/>
      <c r="P18" s="53"/>
      <c r="S18" t="s">
        <v>307</v>
      </c>
    </row>
    <row r="19" spans="1:25" ht="12.75">
      <c r="B19" s="1" t="s">
        <v>192</v>
      </c>
      <c r="M19" s="95"/>
      <c r="O19" s="96" t="s">
        <v>209</v>
      </c>
      <c r="P19" s="95" t="b">
        <f>AND(O7&lt;&gt;"",P7&lt;&gt;"")</f>
        <v>1</v>
      </c>
      <c r="S19" t="s">
        <v>308</v>
      </c>
    </row>
    <row r="20" spans="1:25" ht="12.75">
      <c r="B20" s="1" t="s">
        <v>193</v>
      </c>
      <c r="K20" s="62"/>
      <c r="M20" s="95"/>
      <c r="O20" s="96" t="s">
        <v>203</v>
      </c>
      <c r="P20" s="95" t="b">
        <v>1</v>
      </c>
      <c r="S20" t="s">
        <v>309</v>
      </c>
    </row>
    <row r="21" spans="1:25" ht="12.75">
      <c r="B21" s="1" t="s">
        <v>194</v>
      </c>
      <c r="O21" s="17" t="s">
        <v>206</v>
      </c>
      <c r="P21" s="91" t="str">
        <f>IF(AND(P19,P20),"z-value","t-value")</f>
        <v>z-value</v>
      </c>
      <c r="S21" t="s">
        <v>310</v>
      </c>
    </row>
    <row r="22" spans="1:25">
      <c r="S22" t="s">
        <v>25</v>
      </c>
      <c r="T22">
        <f>IF(U4="Left",1-_xlfn.NORM.S.DIST(ABS(U14), TRUE),IF(U4="Two",2*(1-_xlfn.NORM.S.DIST(ABS(U14), TRUE)),_xlfn.NORM.S.DIST(ABS(U14), TRUE)))</f>
        <v>0.17463659385658059</v>
      </c>
    </row>
    <row r="23" spans="1:25">
      <c r="S23" s="62" t="str">
        <f>IF(T22&lt;P16,"Reject H0", "Fail to Reject H0")</f>
        <v>Fail to Reject H0</v>
      </c>
    </row>
    <row r="25" spans="1:25">
      <c r="R25" s="92" t="s">
        <v>218</v>
      </c>
      <c r="S25" s="1" t="s">
        <v>219</v>
      </c>
    </row>
    <row r="26" spans="1:25">
      <c r="S26" s="132" t="str">
        <f>"We can"&amp;IF(U16,"","not")&amp;" conclude that "&amp;L13&amp;"."</f>
        <v>We cannot conclude that babies using the Gibbs brand gained less weight.</v>
      </c>
      <c r="T26" s="132"/>
      <c r="U26" s="132"/>
      <c r="V26" s="132"/>
      <c r="W26" s="132"/>
    </row>
    <row r="27" spans="1:25">
      <c r="S27" s="132"/>
      <c r="T27" s="132"/>
      <c r="U27" s="132"/>
      <c r="V27" s="132"/>
      <c r="W27" s="132"/>
    </row>
    <row r="28" spans="1:25">
      <c r="S28" s="132"/>
      <c r="T28" s="132"/>
      <c r="U28" s="132"/>
      <c r="V28" s="132"/>
      <c r="W28" s="132"/>
    </row>
    <row r="29" spans="1:25">
      <c r="S29" s="132"/>
      <c r="T29" s="132"/>
      <c r="U29" s="132"/>
      <c r="V29" s="132"/>
      <c r="W29" s="132"/>
    </row>
    <row r="31" spans="1:25">
      <c r="A31" s="1" t="s">
        <v>80</v>
      </c>
      <c r="K31" s="1" t="s">
        <v>81</v>
      </c>
      <c r="Q31" s="101"/>
    </row>
    <row r="32" spans="1:25">
      <c r="A32" s="1" t="s">
        <v>0</v>
      </c>
      <c r="B32" s="128" t="s">
        <v>223</v>
      </c>
      <c r="C32" s="128"/>
      <c r="D32" s="128"/>
      <c r="E32" s="128"/>
      <c r="F32" s="128"/>
      <c r="G32" s="128"/>
      <c r="H32" s="128"/>
      <c r="I32" s="128"/>
      <c r="K32" s="1" t="s">
        <v>211</v>
      </c>
    </row>
    <row r="33" spans="1:23">
      <c r="A33" s="1"/>
      <c r="B33" s="128"/>
      <c r="C33" s="128"/>
      <c r="D33" s="128"/>
      <c r="E33" s="128"/>
      <c r="F33" s="128"/>
      <c r="G33" s="128"/>
      <c r="H33" s="128"/>
      <c r="I33" s="128"/>
      <c r="K33" s="92" t="s">
        <v>196</v>
      </c>
      <c r="L33" s="62" t="s">
        <v>197</v>
      </c>
      <c r="M33" s="60"/>
      <c r="N33" s="53"/>
      <c r="O33" s="53"/>
      <c r="P33" s="53"/>
      <c r="R33" s="92" t="s">
        <v>144</v>
      </c>
      <c r="S33" s="62" t="s">
        <v>204</v>
      </c>
    </row>
    <row r="34" spans="1:23">
      <c r="A34" s="1"/>
      <c r="B34" s="128"/>
      <c r="C34" s="128"/>
      <c r="D34" s="128"/>
      <c r="E34" s="128"/>
      <c r="F34" s="128"/>
      <c r="G34" s="128"/>
      <c r="H34" s="128"/>
      <c r="I34" s="128"/>
      <c r="K34" s="62"/>
      <c r="L34" s="62"/>
      <c r="N34" s="60"/>
      <c r="O34" s="88" t="s">
        <v>224</v>
      </c>
      <c r="P34" s="88" t="s">
        <v>225</v>
      </c>
      <c r="T34" s="2" t="s">
        <v>213</v>
      </c>
      <c r="U34" s="43" t="str">
        <f>IF(NOT(ISERROR(FIND("!=",O42))),"Two",IF(NOT(ISERROR(FIND("&lt;",O42))),"Left","Right"))</f>
        <v>Two</v>
      </c>
      <c r="V34" s="43"/>
    </row>
    <row r="35" spans="1:23">
      <c r="A35" s="1"/>
      <c r="B35" s="128"/>
      <c r="C35" s="128"/>
      <c r="D35" s="128"/>
      <c r="E35" s="128"/>
      <c r="F35" s="128"/>
      <c r="G35" s="128"/>
      <c r="H35" s="128"/>
      <c r="I35" s="128"/>
      <c r="K35" s="102"/>
      <c r="L35" s="73"/>
      <c r="M35" s="73"/>
      <c r="N35" s="74" t="s">
        <v>148</v>
      </c>
      <c r="O35" s="88">
        <v>45</v>
      </c>
      <c r="P35" s="88">
        <v>39</v>
      </c>
      <c r="T35" s="2" t="s">
        <v>212</v>
      </c>
      <c r="U35" s="43">
        <f>IF(U34="Two",P46/2,IF(U34="Left",P46,""))</f>
        <v>2.5000000000000001E-2</v>
      </c>
      <c r="V35" s="43">
        <f>ROUND(_xlfn.NORM.S.INV(U35),3)</f>
        <v>-1.96</v>
      </c>
      <c r="W35" s="97"/>
    </row>
    <row r="36" spans="1:23">
      <c r="A36" s="1"/>
      <c r="B36" s="128"/>
      <c r="C36" s="128"/>
      <c r="D36" s="128"/>
      <c r="E36" s="128"/>
      <c r="F36" s="128"/>
      <c r="G36" s="128"/>
      <c r="H36" s="128"/>
      <c r="I36" s="128"/>
      <c r="K36" s="102"/>
      <c r="L36" s="73"/>
      <c r="M36" s="73"/>
      <c r="N36" s="74" t="s">
        <v>149</v>
      </c>
      <c r="O36" s="88">
        <v>4</v>
      </c>
      <c r="P36" s="88">
        <v>4.4000000000000004</v>
      </c>
      <c r="T36" s="2" t="s">
        <v>214</v>
      </c>
      <c r="U36" s="43">
        <f>IF(U34="Two",1-P46/2,IF(U34="Left","",1-P46))</f>
        <v>0.97499999999999998</v>
      </c>
      <c r="V36" s="43">
        <f>IFERROR(ROUND(_xlfn.NORM.S.INV(U36),3),"")</f>
        <v>1.96</v>
      </c>
      <c r="W36" s="97"/>
    </row>
    <row r="37" spans="1:23">
      <c r="A37" s="1"/>
      <c r="B37" s="128"/>
      <c r="C37" s="128"/>
      <c r="D37" s="128"/>
      <c r="E37" s="128"/>
      <c r="F37" s="128"/>
      <c r="G37" s="128"/>
      <c r="H37" s="128"/>
      <c r="I37" s="128"/>
      <c r="K37" s="102"/>
      <c r="L37" s="73"/>
      <c r="M37" s="73"/>
      <c r="N37" s="74" t="s">
        <v>221</v>
      </c>
      <c r="O37" s="88">
        <v>1.2</v>
      </c>
      <c r="P37" s="88">
        <v>1.1000000000000001</v>
      </c>
      <c r="U37" s="17" t="s">
        <v>210</v>
      </c>
      <c r="V37" s="27" t="str">
        <f>IF(U34="Left",P51&amp;" &lt; "&amp;V35,IF(U34="Right",P51&amp;" &gt; "&amp;V36,P51&amp;" &lt; "&amp;V35&amp;" OR "&amp;P51&amp;" &gt; "&amp;V36))</f>
        <v>z-value &lt; -1.96 OR z-value &gt; 1.96</v>
      </c>
      <c r="W37" s="53"/>
    </row>
    <row r="38" spans="1:23">
      <c r="A38" s="1"/>
      <c r="B38" s="128"/>
      <c r="C38" s="128"/>
      <c r="D38" s="128"/>
      <c r="E38" s="128"/>
      <c r="F38" s="128"/>
      <c r="G38" s="128"/>
      <c r="H38" s="128"/>
      <c r="I38" s="128"/>
      <c r="K38" s="102"/>
      <c r="L38" s="73"/>
      <c r="M38" s="73"/>
      <c r="N38" s="74" t="s">
        <v>151</v>
      </c>
      <c r="O38" s="88">
        <v>0.05</v>
      </c>
      <c r="P38" s="103">
        <f>O38</f>
        <v>0.05</v>
      </c>
      <c r="W38" s="53"/>
    </row>
    <row r="39" spans="1:23">
      <c r="A39" s="1"/>
      <c r="B39" s="128"/>
      <c r="C39" s="128"/>
      <c r="D39" s="128"/>
      <c r="E39" s="128"/>
      <c r="F39" s="128"/>
      <c r="G39" s="128"/>
      <c r="H39" s="128"/>
      <c r="I39" s="128"/>
      <c r="K39" s="53"/>
      <c r="L39" s="53"/>
      <c r="M39" s="53"/>
      <c r="N39" s="53"/>
      <c r="O39" s="53"/>
      <c r="P39" s="53"/>
      <c r="W39" s="53"/>
    </row>
    <row r="40" spans="1:23">
      <c r="A40" s="1"/>
      <c r="B40" s="128"/>
      <c r="C40" s="128"/>
      <c r="D40" s="128"/>
      <c r="E40" s="128"/>
      <c r="F40" s="128"/>
      <c r="G40" s="128"/>
      <c r="H40" s="128"/>
      <c r="I40" s="128"/>
      <c r="K40" s="92" t="s">
        <v>141</v>
      </c>
      <c r="L40" s="62" t="s">
        <v>198</v>
      </c>
      <c r="O40" s="53"/>
      <c r="P40" s="53"/>
      <c r="R40" s="92" t="s">
        <v>217</v>
      </c>
      <c r="S40" s="62" t="s">
        <v>216</v>
      </c>
      <c r="T40" s="53"/>
      <c r="U40" s="53"/>
      <c r="V40" s="53"/>
    </row>
    <row r="41" spans="1:23">
      <c r="A41" s="1"/>
      <c r="B41" s="128"/>
      <c r="C41" s="128"/>
      <c r="D41" s="128"/>
      <c r="E41" s="128"/>
      <c r="F41" s="128"/>
      <c r="G41" s="128"/>
      <c r="H41" s="128"/>
      <c r="I41" s="128"/>
      <c r="K41" s="53"/>
      <c r="L41" s="53"/>
      <c r="N41" s="99" t="s">
        <v>171</v>
      </c>
      <c r="O41" s="100" t="s">
        <v>226</v>
      </c>
      <c r="P41" s="73"/>
      <c r="R41" s="62"/>
      <c r="S41" s="53"/>
      <c r="T41" s="2" t="s">
        <v>207</v>
      </c>
      <c r="U41" s="43">
        <f>O36-P36</f>
        <v>-0.40000000000000036</v>
      </c>
    </row>
    <row r="42" spans="1:23">
      <c r="A42" s="1"/>
      <c r="B42" s="128"/>
      <c r="C42" s="128"/>
      <c r="D42" s="128"/>
      <c r="E42" s="128"/>
      <c r="F42" s="128"/>
      <c r="G42" s="128"/>
      <c r="H42" s="128"/>
      <c r="I42" s="128"/>
      <c r="K42" s="62"/>
      <c r="L42" s="53"/>
      <c r="N42" s="99" t="s">
        <v>172</v>
      </c>
      <c r="O42" s="100" t="s">
        <v>215</v>
      </c>
      <c r="P42" s="73"/>
      <c r="R42" s="53"/>
      <c r="S42" s="53"/>
      <c r="T42" s="2"/>
      <c r="U42" s="1" t="str">
        <f>O34</f>
        <v>Married</v>
      </c>
      <c r="V42" s="1" t="str">
        <f>P34</f>
        <v>Unmarried</v>
      </c>
    </row>
    <row r="43" spans="1:23">
      <c r="A43" s="1"/>
      <c r="B43" s="128"/>
      <c r="C43" s="128"/>
      <c r="D43" s="128"/>
      <c r="E43" s="128"/>
      <c r="F43" s="128"/>
      <c r="G43" s="128"/>
      <c r="H43" s="128"/>
      <c r="I43" s="128"/>
      <c r="L43" s="131" t="s">
        <v>227</v>
      </c>
      <c r="M43" s="131"/>
      <c r="N43" s="131"/>
      <c r="O43" s="131"/>
      <c r="P43" s="131"/>
      <c r="R43" s="53"/>
      <c r="S43" s="53"/>
      <c r="T43" s="2" t="s">
        <v>208</v>
      </c>
      <c r="U43" s="43">
        <f>O37^2/O35</f>
        <v>3.2000000000000001E-2</v>
      </c>
      <c r="V43" s="43">
        <f>P37^2/P35</f>
        <v>3.1025641025641031E-2</v>
      </c>
    </row>
    <row r="44" spans="1:23">
      <c r="A44" s="1"/>
      <c r="B44" s="1"/>
      <c r="C44" s="1"/>
      <c r="D44" s="1"/>
      <c r="E44" s="1"/>
      <c r="F44" s="1"/>
      <c r="G44" s="1"/>
      <c r="H44" s="1"/>
      <c r="I44" s="1"/>
      <c r="R44" s="53"/>
      <c r="S44" s="53"/>
      <c r="T44" s="2" t="str">
        <f>"Test statistic: "&amp;P51</f>
        <v>Test statistic: z-value</v>
      </c>
      <c r="U44" s="43">
        <f>ROUND(U41/SQRT(U43+V43),3)</f>
        <v>-1.593</v>
      </c>
      <c r="V44" s="43"/>
    </row>
    <row r="45" spans="1:23">
      <c r="A45" s="1"/>
      <c r="B45" s="1" t="s">
        <v>195</v>
      </c>
      <c r="C45" s="1"/>
      <c r="D45" s="1"/>
      <c r="E45" s="1"/>
      <c r="F45" s="1"/>
      <c r="G45" s="1"/>
      <c r="H45" s="1"/>
      <c r="I45" s="1"/>
      <c r="K45" s="92" t="s">
        <v>142</v>
      </c>
      <c r="L45" s="62" t="s">
        <v>199</v>
      </c>
      <c r="M45" s="53"/>
      <c r="N45" s="53"/>
      <c r="O45" s="53"/>
      <c r="P45" s="53"/>
      <c r="U45" t="str">
        <f>SUBSTITUTE(V37,P51,U44)</f>
        <v>-1.593 &lt; -1.96 OR -1.593 &gt; 1.96</v>
      </c>
    </row>
    <row r="46" spans="1:23">
      <c r="B46" s="1" t="s">
        <v>189</v>
      </c>
      <c r="K46" s="53"/>
      <c r="L46" s="53"/>
      <c r="O46" s="94" t="s">
        <v>63</v>
      </c>
      <c r="P46" s="98">
        <f>O38</f>
        <v>0.05</v>
      </c>
      <c r="T46" s="43"/>
      <c r="U46" s="3" t="b">
        <v>0</v>
      </c>
    </row>
    <row r="47" spans="1:23">
      <c r="B47" s="1" t="s">
        <v>190</v>
      </c>
      <c r="K47" s="93"/>
      <c r="L47" s="53"/>
      <c r="M47" s="53"/>
      <c r="N47" s="53"/>
      <c r="O47" s="53"/>
      <c r="P47" s="53"/>
      <c r="S47" s="62" t="str">
        <f>IF(U46,"Reject H0", "Fail to Reject H0")</f>
        <v>Fail to Reject H0</v>
      </c>
    </row>
    <row r="48" spans="1:23">
      <c r="B48" s="1" t="s">
        <v>191</v>
      </c>
      <c r="K48" s="92" t="s">
        <v>143</v>
      </c>
      <c r="L48" s="62" t="s">
        <v>205</v>
      </c>
      <c r="M48" s="53"/>
      <c r="N48" s="53"/>
      <c r="O48" s="53"/>
      <c r="P48" s="53"/>
      <c r="S48" t="s">
        <v>307</v>
      </c>
    </row>
    <row r="49" spans="2:23" ht="12.75">
      <c r="B49" s="1" t="s">
        <v>192</v>
      </c>
      <c r="M49" s="95"/>
      <c r="O49" s="96" t="s">
        <v>209</v>
      </c>
      <c r="P49" s="95" t="b">
        <f>AND(O37&lt;&gt;"",P37&lt;&gt;"")</f>
        <v>1</v>
      </c>
      <c r="S49" t="s">
        <v>308</v>
      </c>
    </row>
    <row r="50" spans="2:23" ht="12.75">
      <c r="B50" s="1" t="s">
        <v>193</v>
      </c>
      <c r="K50" s="62"/>
      <c r="M50" s="95"/>
      <c r="O50" s="96" t="s">
        <v>203</v>
      </c>
      <c r="P50" s="95" t="b">
        <v>1</v>
      </c>
      <c r="S50" t="s">
        <v>309</v>
      </c>
    </row>
    <row r="51" spans="2:23" ht="12.75">
      <c r="B51" s="1" t="s">
        <v>194</v>
      </c>
      <c r="O51" s="17" t="s">
        <v>206</v>
      </c>
      <c r="P51" s="91" t="str">
        <f>IF(AND(P49,P50),"z-value","t-value")</f>
        <v>z-value</v>
      </c>
      <c r="S51" t="s">
        <v>310</v>
      </c>
    </row>
    <row r="52" spans="2:23">
      <c r="S52" t="s">
        <v>25</v>
      </c>
      <c r="T52">
        <f>IF(U34="Left",1-_xlfn.NORM.S.DIST(ABS(U44), TRUE),IF(U34="Two",2*(1-_xlfn.NORM.S.DIST(ABS(U44), TRUE)),_xlfn.NORM.S.DIST(ABS(U44), TRUE)))</f>
        <v>0.11116019104610242</v>
      </c>
    </row>
    <row r="53" spans="2:23">
      <c r="S53" s="62" t="str">
        <f>IF(T52&lt;P46,"Reject H0", "Fail to Reject H0")</f>
        <v>Fail to Reject H0</v>
      </c>
    </row>
    <row r="55" spans="2:23">
      <c r="R55" s="92" t="s">
        <v>218</v>
      </c>
      <c r="S55" s="1" t="s">
        <v>219</v>
      </c>
    </row>
    <row r="56" spans="2:23">
      <c r="S56" s="132" t="str">
        <f>"We can"&amp;IF(U46,"","not")&amp;" conclude that "&amp;L43&amp;"."</f>
        <v>We cannot conclude that married and unmarried women differ in the amount of time per week spent on Facebook.</v>
      </c>
      <c r="T56" s="132"/>
      <c r="U56" s="132"/>
      <c r="V56" s="132"/>
      <c r="W56" s="132"/>
    </row>
    <row r="57" spans="2:23">
      <c r="S57" s="132"/>
      <c r="T57" s="132"/>
      <c r="U57" s="132"/>
      <c r="V57" s="132"/>
      <c r="W57" s="132"/>
    </row>
    <row r="58" spans="2:23">
      <c r="S58" s="132"/>
      <c r="T58" s="132"/>
      <c r="U58" s="132"/>
      <c r="V58" s="132"/>
      <c r="W58" s="132"/>
    </row>
    <row r="59" spans="2:23">
      <c r="S59" s="132"/>
      <c r="T59" s="132"/>
      <c r="U59" s="132"/>
      <c r="V59" s="132"/>
      <c r="W59" s="132"/>
    </row>
  </sheetData>
  <mergeCells count="6">
    <mergeCell ref="B32:I43"/>
    <mergeCell ref="L43:P43"/>
    <mergeCell ref="S56:W59"/>
    <mergeCell ref="L13:P13"/>
    <mergeCell ref="S26:W29"/>
    <mergeCell ref="B2:I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6DF-25A0-43D6-961C-B33E4F6E5C23}">
  <dimension ref="A1:W31"/>
  <sheetViews>
    <sheetView workbookViewId="0">
      <selection activeCell="T25" sqref="T25"/>
    </sheetView>
  </sheetViews>
  <sheetFormatPr defaultRowHeight="12"/>
  <sheetData>
    <row r="1" spans="1:23">
      <c r="A1" s="1" t="s">
        <v>80</v>
      </c>
      <c r="K1" s="1" t="s">
        <v>81</v>
      </c>
    </row>
    <row r="2" spans="1:23" ht="12" customHeight="1">
      <c r="A2" s="1" t="s">
        <v>101</v>
      </c>
      <c r="B2" s="128" t="s">
        <v>283</v>
      </c>
      <c r="C2" s="128"/>
      <c r="D2" s="128"/>
      <c r="E2" s="128"/>
      <c r="F2" s="128"/>
      <c r="G2" s="128"/>
      <c r="H2" s="128"/>
      <c r="I2" s="128"/>
      <c r="K2" s="1" t="s">
        <v>289</v>
      </c>
    </row>
    <row r="3" spans="1:23">
      <c r="A3" s="1"/>
      <c r="B3" s="128"/>
      <c r="C3" s="128"/>
      <c r="D3" s="128"/>
      <c r="E3" s="128"/>
      <c r="F3" s="128"/>
      <c r="G3" s="128"/>
      <c r="H3" s="128"/>
      <c r="I3" s="128"/>
      <c r="K3" s="92" t="s">
        <v>196</v>
      </c>
      <c r="L3" s="62" t="s">
        <v>197</v>
      </c>
      <c r="M3" s="60"/>
      <c r="N3" s="53"/>
      <c r="O3" s="53"/>
      <c r="P3" s="53"/>
      <c r="R3" s="92" t="s">
        <v>144</v>
      </c>
      <c r="S3" s="62" t="s">
        <v>204</v>
      </c>
    </row>
    <row r="4" spans="1:23">
      <c r="A4" s="1"/>
      <c r="B4" s="128"/>
      <c r="C4" s="128"/>
      <c r="D4" s="128"/>
      <c r="E4" s="128"/>
      <c r="F4" s="128"/>
      <c r="G4" s="128"/>
      <c r="H4" s="128"/>
      <c r="I4" s="128"/>
      <c r="K4" s="62"/>
      <c r="L4" s="62"/>
      <c r="N4" s="60"/>
      <c r="O4" s="88" t="s">
        <v>285</v>
      </c>
      <c r="P4" s="88" t="s">
        <v>286</v>
      </c>
      <c r="T4" s="2" t="s">
        <v>213</v>
      </c>
      <c r="U4" s="43" t="str">
        <f>IF(NOT(ISERROR(FIND("!=",O13))),"Two",IF(NOT(ISERROR(FIND("&lt;",O13))),"Left","Right"))</f>
        <v>Two</v>
      </c>
      <c r="V4" s="43"/>
    </row>
    <row r="5" spans="1:23">
      <c r="A5" s="1"/>
      <c r="B5" s="128"/>
      <c r="C5" s="128"/>
      <c r="D5" s="128"/>
      <c r="E5" s="128"/>
      <c r="F5" s="128"/>
      <c r="G5" s="128"/>
      <c r="H5" s="128"/>
      <c r="I5" s="128"/>
      <c r="K5" s="102"/>
      <c r="L5" s="73"/>
      <c r="M5" s="73"/>
      <c r="N5" s="74" t="s">
        <v>148</v>
      </c>
      <c r="O5" s="88">
        <v>35</v>
      </c>
      <c r="P5" s="88">
        <v>40</v>
      </c>
      <c r="T5" s="2" t="s">
        <v>212</v>
      </c>
      <c r="U5" s="43">
        <f>IF(U4="Two",P17/2,IF(U4="Left",P17,""))</f>
        <v>5.0000000000000001E-3</v>
      </c>
      <c r="V5" s="43">
        <f>ROUND(_xlfn.NORM.S.INV(U5),3)</f>
        <v>-2.5760000000000001</v>
      </c>
      <c r="W5" s="97"/>
    </row>
    <row r="6" spans="1:23">
      <c r="A6" s="1"/>
      <c r="B6" s="90"/>
      <c r="C6" s="90"/>
      <c r="D6" s="90"/>
      <c r="E6" s="90"/>
      <c r="F6" s="90"/>
      <c r="G6" s="90"/>
      <c r="H6" s="90"/>
      <c r="I6" s="90"/>
      <c r="K6" s="102"/>
      <c r="L6" s="73"/>
      <c r="M6" s="73"/>
      <c r="N6" s="74" t="s">
        <v>149</v>
      </c>
      <c r="O6" s="88">
        <v>24.51</v>
      </c>
      <c r="P6" s="88">
        <v>22.69</v>
      </c>
      <c r="T6" s="2" t="s">
        <v>214</v>
      </c>
      <c r="U6" s="43">
        <f>IF(U4="Two",1-P17/2,IF(U4="Left","",1-P17))</f>
        <v>0.995</v>
      </c>
      <c r="V6" s="43">
        <f>IFERROR(ROUND(_xlfn.NORM.S.INV(U6),3),"")</f>
        <v>2.5760000000000001</v>
      </c>
      <c r="W6" s="97"/>
    </row>
    <row r="7" spans="1:23">
      <c r="A7" s="1"/>
      <c r="E7" s="43" t="s">
        <v>285</v>
      </c>
      <c r="F7" s="43" t="s">
        <v>286</v>
      </c>
      <c r="K7" s="102"/>
      <c r="L7" s="73"/>
      <c r="M7" s="73"/>
      <c r="N7" s="74" t="s">
        <v>239</v>
      </c>
      <c r="O7" s="88">
        <v>4.4800000000000004</v>
      </c>
      <c r="P7" s="88">
        <v>3.86</v>
      </c>
      <c r="U7" s="17" t="s">
        <v>210</v>
      </c>
      <c r="V7" s="27" t="str">
        <f>IF(U4="Left",P22&amp;" &lt; "&amp;V5,IF(U4="Right",P22&amp;" &gt; "&amp;V6,P22&amp;" &lt; "&amp;V5&amp;" OR "&amp;P22&amp;" &gt; "&amp;V6))</f>
        <v>t-value &lt; -2.576 OR t-value &gt; 2.576</v>
      </c>
      <c r="W7" s="53"/>
    </row>
    <row r="8" spans="1:23">
      <c r="A8" s="1"/>
      <c r="D8" s="2" t="s">
        <v>148</v>
      </c>
      <c r="E8" s="43">
        <v>35</v>
      </c>
      <c r="F8" s="43">
        <v>40</v>
      </c>
      <c r="K8" s="102"/>
      <c r="L8" s="73"/>
      <c r="M8" s="73"/>
      <c r="N8" s="74" t="s">
        <v>221</v>
      </c>
      <c r="O8" s="88"/>
      <c r="P8" s="88"/>
      <c r="W8" s="53"/>
    </row>
    <row r="9" spans="1:23">
      <c r="A9" s="1"/>
      <c r="D9" s="2" t="s">
        <v>149</v>
      </c>
      <c r="E9" s="43">
        <v>24.51</v>
      </c>
      <c r="F9" s="43">
        <v>22.69</v>
      </c>
      <c r="K9" s="102"/>
      <c r="L9" s="73"/>
      <c r="M9" s="73"/>
      <c r="N9" s="74" t="s">
        <v>151</v>
      </c>
      <c r="O9" s="88">
        <v>0.01</v>
      </c>
      <c r="P9" s="103">
        <f>O9</f>
        <v>0.01</v>
      </c>
      <c r="W9" s="53"/>
    </row>
    <row r="10" spans="1:23">
      <c r="A10" s="1"/>
      <c r="D10" s="2" t="s">
        <v>239</v>
      </c>
      <c r="E10" s="43">
        <v>4.4800000000000004</v>
      </c>
      <c r="F10" s="43">
        <v>3.86</v>
      </c>
      <c r="K10" s="53"/>
      <c r="L10" s="53"/>
      <c r="M10" s="53"/>
      <c r="N10" s="53"/>
      <c r="O10" s="53"/>
      <c r="P10" s="53"/>
      <c r="R10" s="92" t="s">
        <v>217</v>
      </c>
      <c r="S10" s="62" t="s">
        <v>216</v>
      </c>
      <c r="T10" s="53"/>
      <c r="U10" s="53"/>
      <c r="V10" s="53"/>
    </row>
    <row r="11" spans="1:23">
      <c r="A11" s="1"/>
      <c r="K11" s="92" t="s">
        <v>141</v>
      </c>
      <c r="L11" s="62" t="s">
        <v>198</v>
      </c>
      <c r="O11" s="53"/>
      <c r="P11" s="53"/>
      <c r="U11" t="str">
        <f>O4</f>
        <v>Men</v>
      </c>
      <c r="V11" t="str">
        <f>P4</f>
        <v>Women</v>
      </c>
    </row>
    <row r="12" spans="1:23">
      <c r="A12" s="1"/>
      <c r="B12" s="128" t="s">
        <v>284</v>
      </c>
      <c r="C12" s="128"/>
      <c r="D12" s="128"/>
      <c r="E12" s="128"/>
      <c r="F12" s="128"/>
      <c r="G12" s="128"/>
      <c r="H12" s="128"/>
      <c r="I12" s="128"/>
      <c r="K12" s="53"/>
      <c r="L12" s="53"/>
      <c r="N12" s="99" t="s">
        <v>171</v>
      </c>
      <c r="O12" s="100" t="str">
        <f>"xbar"&amp;O4&amp;" = "&amp;"xbar"&amp;P4</f>
        <v>xbarMen = xbarWomen</v>
      </c>
      <c r="P12" s="73"/>
      <c r="T12" s="2" t="s">
        <v>291</v>
      </c>
      <c r="U12">
        <f>(O5-1)*O7^2</f>
        <v>682.39360000000011</v>
      </c>
      <c r="V12">
        <f>(P5-1)*P7^2</f>
        <v>581.08439999999996</v>
      </c>
    </row>
    <row r="13" spans="1:23" ht="12" customHeight="1">
      <c r="A13" s="1"/>
      <c r="B13" s="128"/>
      <c r="C13" s="128"/>
      <c r="D13" s="128"/>
      <c r="E13" s="128"/>
      <c r="F13" s="128"/>
      <c r="G13" s="128"/>
      <c r="H13" s="128"/>
      <c r="I13" s="128"/>
      <c r="K13" s="62"/>
      <c r="L13" s="53"/>
      <c r="N13" s="99" t="s">
        <v>172</v>
      </c>
      <c r="O13" s="100" t="str">
        <f>"xbar"&amp;O4&amp;" != "&amp;"xbar"&amp;P4</f>
        <v>xbarMen != xbarWomen</v>
      </c>
      <c r="P13" s="73"/>
      <c r="T13" s="2" t="s">
        <v>45</v>
      </c>
      <c r="U13">
        <f>O5+P5-2</f>
        <v>73</v>
      </c>
    </row>
    <row r="14" spans="1:23">
      <c r="A14" s="1"/>
      <c r="B14" s="128"/>
      <c r="C14" s="128"/>
      <c r="D14" s="128"/>
      <c r="E14" s="128"/>
      <c r="F14" s="128"/>
      <c r="G14" s="128"/>
      <c r="H14" s="128"/>
      <c r="I14" s="128"/>
      <c r="L14" s="131" t="s">
        <v>287</v>
      </c>
      <c r="M14" s="131"/>
      <c r="N14" s="131"/>
      <c r="O14" s="131"/>
      <c r="P14" s="131"/>
      <c r="T14" s="2" t="s">
        <v>292</v>
      </c>
      <c r="U14">
        <f>(U12+V12)/U13</f>
        <v>17.30791780821918</v>
      </c>
    </row>
    <row r="15" spans="1:23">
      <c r="A15" s="1"/>
      <c r="T15" s="2" t="s">
        <v>290</v>
      </c>
      <c r="U15" s="43">
        <f>O6-P6</f>
        <v>1.8200000000000003</v>
      </c>
    </row>
    <row r="16" spans="1:23">
      <c r="B16" s="1" t="s">
        <v>195</v>
      </c>
      <c r="K16" s="92" t="s">
        <v>142</v>
      </c>
      <c r="L16" s="62" t="s">
        <v>199</v>
      </c>
      <c r="M16" s="53"/>
      <c r="N16" s="53"/>
      <c r="O16" s="53"/>
      <c r="P16" s="53"/>
      <c r="U16" s="1" t="str">
        <f>O4</f>
        <v>Men</v>
      </c>
      <c r="V16" s="1" t="str">
        <f>P4</f>
        <v>Women</v>
      </c>
    </row>
    <row r="17" spans="2:23">
      <c r="B17" s="1" t="s">
        <v>189</v>
      </c>
      <c r="K17" s="53"/>
      <c r="L17" s="53"/>
      <c r="O17" s="94" t="s">
        <v>63</v>
      </c>
      <c r="P17" s="98">
        <f>O9</f>
        <v>0.01</v>
      </c>
      <c r="S17" s="53"/>
      <c r="T17" s="2" t="s">
        <v>293</v>
      </c>
      <c r="U17">
        <f>1/O5</f>
        <v>2.8571428571428571E-2</v>
      </c>
      <c r="V17">
        <f>1/P5</f>
        <v>2.5000000000000001E-2</v>
      </c>
    </row>
    <row r="18" spans="2:23">
      <c r="B18" s="1" t="s">
        <v>190</v>
      </c>
      <c r="K18" s="93"/>
      <c r="L18" s="53"/>
      <c r="M18" s="53"/>
      <c r="N18" s="53"/>
      <c r="O18" s="53"/>
      <c r="P18" s="53"/>
      <c r="S18" s="53"/>
      <c r="T18" s="2" t="str">
        <f>"Test statistic: "&amp;P22</f>
        <v>Test statistic: t-value</v>
      </c>
      <c r="U18" s="43">
        <f>ROUND(U15/SQRT(U14*(U17+V17)),3)</f>
        <v>1.89</v>
      </c>
      <c r="V18" s="43"/>
    </row>
    <row r="19" spans="2:23">
      <c r="B19" s="1" t="s">
        <v>191</v>
      </c>
      <c r="K19" s="92" t="s">
        <v>143</v>
      </c>
      <c r="L19" s="62" t="s">
        <v>205</v>
      </c>
      <c r="M19" s="53"/>
      <c r="N19" s="53"/>
      <c r="O19" s="53"/>
      <c r="P19" s="53"/>
      <c r="U19" t="str">
        <f>SUBSTITUTE(V7,P22,U18)</f>
        <v>1.89 &lt; -2.576 OR 1.89 &gt; 2.576</v>
      </c>
    </row>
    <row r="20" spans="2:23">
      <c r="B20" s="1" t="s">
        <v>192</v>
      </c>
      <c r="M20" s="95"/>
      <c r="O20" s="96" t="s">
        <v>209</v>
      </c>
      <c r="P20" s="95" t="b">
        <f>AND(O8&lt;&gt;"",P8&lt;&gt;"")</f>
        <v>0</v>
      </c>
      <c r="T20" s="43"/>
      <c r="U20" s="3" t="b">
        <v>0</v>
      </c>
    </row>
    <row r="21" spans="2:23">
      <c r="B21" s="1" t="s">
        <v>193</v>
      </c>
      <c r="K21" s="62"/>
      <c r="M21" s="95"/>
      <c r="O21" s="96" t="s">
        <v>203</v>
      </c>
      <c r="P21" s="95" t="b">
        <v>1</v>
      </c>
      <c r="S21" s="62" t="str">
        <f>IF(U20,"Reject H0", "Fail to Reject H0")</f>
        <v>Fail to Reject H0</v>
      </c>
    </row>
    <row r="22" spans="2:23">
      <c r="B22" s="1" t="s">
        <v>194</v>
      </c>
      <c r="O22" s="17" t="s">
        <v>206</v>
      </c>
      <c r="P22" s="91" t="str">
        <f>IF(AND(P20,P21),"z-value","t-value")</f>
        <v>t-value</v>
      </c>
    </row>
    <row r="23" spans="2:23">
      <c r="R23" s="92" t="s">
        <v>218</v>
      </c>
      <c r="S23" s="1" t="s">
        <v>219</v>
      </c>
    </row>
    <row r="24" spans="2:23">
      <c r="S24" t="s">
        <v>25</v>
      </c>
      <c r="T24">
        <f>ROUND(IF(U4="Right",_xlfn.T.DIST.RT(ABS(U18),U13),IF(U4="Left",1-_xlfn.T.DIST(ABS(U18),U13,TRUE),_xlfn.T.DIST.2T(ABS(U18),U13))),4)</f>
        <v>6.2700000000000006E-2</v>
      </c>
      <c r="U24" s="37"/>
    </row>
    <row r="25" spans="2:23">
      <c r="S25" s="62" t="str">
        <f>IF(T24&lt;P17,"Reject H0", "Fail to Reject H0")</f>
        <v>Fail to Reject H0</v>
      </c>
    </row>
    <row r="26" spans="2:23">
      <c r="S26" s="132" t="str">
        <f>"We can"&amp;IF(U20,"","not")&amp;" conclude that "&amp;L14&amp;"."</f>
        <v>We cannot conclude that there is a difference in the mean number of times men and women order take-out dinners in a month.</v>
      </c>
      <c r="T26" s="132"/>
      <c r="U26" s="132"/>
      <c r="V26" s="132"/>
      <c r="W26" s="132"/>
    </row>
    <row r="27" spans="2:23">
      <c r="S27" s="132"/>
      <c r="T27" s="132"/>
      <c r="U27" s="132"/>
      <c r="V27" s="132"/>
      <c r="W27" s="132"/>
    </row>
    <row r="28" spans="2:23">
      <c r="B28" s="90"/>
      <c r="C28" s="90"/>
      <c r="D28" s="90"/>
      <c r="E28" s="90"/>
      <c r="F28" s="90"/>
      <c r="G28" s="90"/>
      <c r="H28" s="90"/>
      <c r="I28" s="90"/>
      <c r="S28" s="132"/>
      <c r="T28" s="132"/>
      <c r="U28" s="132"/>
      <c r="V28" s="132"/>
      <c r="W28" s="132"/>
    </row>
    <row r="29" spans="2:23">
      <c r="C29" s="90"/>
      <c r="D29" s="90"/>
      <c r="E29" s="90"/>
      <c r="F29" s="90"/>
      <c r="G29" s="90"/>
      <c r="H29" s="90"/>
      <c r="I29" s="90"/>
      <c r="R29" s="53"/>
      <c r="S29" s="132"/>
      <c r="T29" s="132"/>
      <c r="U29" s="132"/>
      <c r="V29" s="132"/>
      <c r="W29" s="132"/>
    </row>
    <row r="30" spans="2:23">
      <c r="C30" s="90"/>
      <c r="D30" s="90"/>
      <c r="E30" s="90"/>
      <c r="F30" s="90"/>
      <c r="G30" s="90"/>
      <c r="H30" s="90"/>
      <c r="I30" s="90"/>
      <c r="R30" s="53"/>
    </row>
    <row r="31" spans="2:23">
      <c r="R31" s="53"/>
      <c r="S31" s="132"/>
      <c r="T31" s="132"/>
      <c r="U31" s="132"/>
      <c r="V31" s="132"/>
      <c r="W31" s="132"/>
    </row>
  </sheetData>
  <mergeCells count="5">
    <mergeCell ref="S31:W31"/>
    <mergeCell ref="B2:I5"/>
    <mergeCell ref="B12:I14"/>
    <mergeCell ref="L14:P14"/>
    <mergeCell ref="S26:W2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4E42-9DD4-4E48-99B1-3A5A29CE4AA9}">
  <dimension ref="A1:W88"/>
  <sheetViews>
    <sheetView topLeftCell="A42" workbookViewId="0">
      <selection activeCell="A60" sqref="A60:W88"/>
    </sheetView>
  </sheetViews>
  <sheetFormatPr defaultRowHeight="12"/>
  <cols>
    <col min="6" max="7" width="9.28515625" customWidth="1"/>
    <col min="14" max="16" width="9.28515625" customWidth="1"/>
  </cols>
  <sheetData>
    <row r="1" spans="1:23">
      <c r="A1" s="1" t="s">
        <v>80</v>
      </c>
      <c r="K1" s="1" t="s">
        <v>81</v>
      </c>
    </row>
    <row r="2" spans="1:23" ht="12" customHeight="1">
      <c r="A2" s="1" t="s">
        <v>231</v>
      </c>
      <c r="B2" s="128" t="s">
        <v>232</v>
      </c>
      <c r="C2" s="128"/>
      <c r="D2" s="128"/>
      <c r="E2" s="128"/>
      <c r="F2" s="128"/>
      <c r="G2" s="128"/>
      <c r="H2" s="128"/>
      <c r="I2" s="128"/>
      <c r="K2" s="1" t="s">
        <v>229</v>
      </c>
    </row>
    <row r="3" spans="1:23">
      <c r="A3" s="1"/>
      <c r="B3" s="128"/>
      <c r="C3" s="128"/>
      <c r="D3" s="128"/>
      <c r="E3" s="128"/>
      <c r="F3" s="128"/>
      <c r="G3" s="128"/>
      <c r="H3" s="128"/>
      <c r="I3" s="128"/>
      <c r="K3" s="92" t="s">
        <v>196</v>
      </c>
      <c r="L3" s="62" t="s">
        <v>197</v>
      </c>
      <c r="M3" s="60"/>
      <c r="N3" s="53"/>
      <c r="O3" s="53"/>
      <c r="P3" s="53"/>
      <c r="R3" s="92" t="s">
        <v>144</v>
      </c>
      <c r="S3" s="62" t="s">
        <v>204</v>
      </c>
    </row>
    <row r="4" spans="1:23">
      <c r="A4" s="1"/>
      <c r="B4" s="128"/>
      <c r="C4" s="128"/>
      <c r="D4" s="128"/>
      <c r="E4" s="128"/>
      <c r="F4" s="128"/>
      <c r="G4" s="128"/>
      <c r="H4" s="128"/>
      <c r="I4" s="128"/>
      <c r="K4" s="62"/>
      <c r="L4" s="62"/>
      <c r="N4" s="60"/>
      <c r="O4" s="88" t="s">
        <v>233</v>
      </c>
      <c r="P4" s="88" t="s">
        <v>234</v>
      </c>
      <c r="T4" s="2" t="s">
        <v>213</v>
      </c>
      <c r="U4" s="43" t="str">
        <f>IF(NOT(ISERROR(FIND("!=",N12))),"Two",IF(NOT(ISERROR(FIND("&lt;",N12))),"Left","Right"))</f>
        <v>Right</v>
      </c>
      <c r="V4" s="43"/>
    </row>
    <row r="5" spans="1:23">
      <c r="A5" s="1"/>
      <c r="B5" s="128"/>
      <c r="C5" s="128"/>
      <c r="D5" s="128"/>
      <c r="E5" s="128"/>
      <c r="F5" s="128"/>
      <c r="G5" s="128"/>
      <c r="H5" s="128"/>
      <c r="I5" s="128"/>
      <c r="K5" s="102"/>
      <c r="L5" s="73"/>
      <c r="M5" s="73"/>
      <c r="N5" s="74" t="s">
        <v>148</v>
      </c>
      <c r="O5" s="88">
        <v>16</v>
      </c>
      <c r="P5" s="88">
        <v>18</v>
      </c>
      <c r="U5" t="str">
        <f>O4</f>
        <v>public</v>
      </c>
      <c r="V5" t="str">
        <f>P4</f>
        <v>private</v>
      </c>
    </row>
    <row r="6" spans="1:23">
      <c r="A6" s="1"/>
      <c r="B6" s="128"/>
      <c r="C6" s="128"/>
      <c r="D6" s="128"/>
      <c r="E6" s="128"/>
      <c r="F6" s="128"/>
      <c r="G6" s="128"/>
      <c r="H6" s="128"/>
      <c r="I6" s="128"/>
      <c r="K6" s="102"/>
      <c r="L6" s="73"/>
      <c r="M6" s="73"/>
      <c r="N6" s="74" t="s">
        <v>149</v>
      </c>
      <c r="O6" s="108">
        <v>12840</v>
      </c>
      <c r="P6" s="108">
        <v>11045</v>
      </c>
      <c r="T6" s="2" t="s">
        <v>240</v>
      </c>
      <c r="U6" s="43">
        <f>O7^2/O5</f>
        <v>43576.5625</v>
      </c>
      <c r="V6" s="43">
        <f>P7^2/P5</f>
        <v>132612.5</v>
      </c>
    </row>
    <row r="7" spans="1:23">
      <c r="A7" s="1"/>
      <c r="B7" s="128"/>
      <c r="C7" s="128"/>
      <c r="D7" s="128"/>
      <c r="E7" s="128"/>
      <c r="F7" s="128"/>
      <c r="G7" s="128"/>
      <c r="H7" s="128"/>
      <c r="I7" s="128"/>
      <c r="K7" s="102"/>
      <c r="L7" s="73"/>
      <c r="M7" s="73"/>
      <c r="N7" s="74" t="s">
        <v>239</v>
      </c>
      <c r="O7" s="108">
        <v>835</v>
      </c>
      <c r="P7" s="108">
        <v>1545</v>
      </c>
      <c r="T7" s="2" t="s">
        <v>241</v>
      </c>
      <c r="U7" s="43">
        <f>U6^2</f>
        <v>1898916799.3164063</v>
      </c>
      <c r="V7" s="43">
        <f>V6^2</f>
        <v>17586075156.25</v>
      </c>
      <c r="W7" s="97"/>
    </row>
    <row r="8" spans="1:23">
      <c r="A8" s="1"/>
      <c r="B8" s="128"/>
      <c r="C8" s="128"/>
      <c r="D8" s="128"/>
      <c r="E8" s="128"/>
      <c r="F8" s="128"/>
      <c r="G8" s="128"/>
      <c r="H8" s="128"/>
      <c r="I8" s="128"/>
      <c r="K8" s="102"/>
      <c r="L8" s="73"/>
      <c r="M8" s="73"/>
      <c r="N8" s="74" t="s">
        <v>230</v>
      </c>
      <c r="O8" s="88">
        <v>0.05</v>
      </c>
      <c r="P8" s="103">
        <f>O8</f>
        <v>0.05</v>
      </c>
      <c r="T8" s="2" t="s">
        <v>242</v>
      </c>
      <c r="U8" s="43">
        <f>O5-1</f>
        <v>15</v>
      </c>
      <c r="V8" s="43">
        <f>P5-1</f>
        <v>17</v>
      </c>
      <c r="W8" s="97"/>
    </row>
    <row r="9" spans="1:23">
      <c r="A9" s="1"/>
      <c r="B9" s="128"/>
      <c r="C9" s="128"/>
      <c r="D9" s="128"/>
      <c r="E9" s="128"/>
      <c r="F9" s="128"/>
      <c r="G9" s="128"/>
      <c r="H9" s="128"/>
      <c r="I9" s="128"/>
      <c r="K9" s="53"/>
      <c r="L9" s="53"/>
      <c r="M9" s="53"/>
      <c r="N9" s="53"/>
      <c r="O9" s="53"/>
      <c r="P9" s="53"/>
      <c r="T9" s="2" t="s">
        <v>45</v>
      </c>
      <c r="U9" s="43">
        <f>_xlfn.FLOOR.MATH((U6+V6)^2/((U7/U8)+(V7/V8)))</f>
        <v>26</v>
      </c>
      <c r="V9" s="43"/>
      <c r="W9" s="53"/>
    </row>
    <row r="10" spans="1:23">
      <c r="A10" s="1"/>
      <c r="B10" s="128"/>
      <c r="C10" s="128"/>
      <c r="D10" s="128"/>
      <c r="E10" s="128"/>
      <c r="F10" s="128"/>
      <c r="G10" s="128"/>
      <c r="H10" s="128"/>
      <c r="I10" s="128"/>
      <c r="K10" s="92" t="s">
        <v>141</v>
      </c>
      <c r="L10" s="62" t="s">
        <v>198</v>
      </c>
      <c r="O10" s="53"/>
      <c r="P10" s="53"/>
      <c r="T10" s="2" t="s">
        <v>212</v>
      </c>
      <c r="U10" s="43" t="str">
        <f>IF(U4="Two",P16/2,IF(U4="Left",P16,""))</f>
        <v/>
      </c>
      <c r="V10" s="43" t="str">
        <f>IFERROR(ROUND(_xlfn.NORM.S.INV(U10),3),"")</f>
        <v/>
      </c>
    </row>
    <row r="11" spans="1:23">
      <c r="A11" s="1"/>
      <c r="B11" s="128"/>
      <c r="C11" s="128"/>
      <c r="D11" s="128"/>
      <c r="E11" s="128"/>
      <c r="F11" s="128"/>
      <c r="G11" s="128"/>
      <c r="H11" s="128"/>
      <c r="I11" s="128"/>
      <c r="K11" s="53"/>
      <c r="L11" s="53"/>
      <c r="M11" s="99" t="s">
        <v>171</v>
      </c>
      <c r="N11" s="100" t="s">
        <v>237</v>
      </c>
      <c r="O11" s="73"/>
      <c r="P11" s="3"/>
      <c r="T11" s="2" t="s">
        <v>214</v>
      </c>
      <c r="U11" s="43">
        <f>IF(U4="Two",1-P16/2,IF(U4="Left","",1-P16))</f>
        <v>0.95</v>
      </c>
      <c r="V11" s="43">
        <f>IF(P23="z-value",IFERROR(ROUND(_xlfn.NORM.S.INV(U11),3),""),ROUND(_xlfn.T.INV(U11,U9),3))</f>
        <v>1.706</v>
      </c>
    </row>
    <row r="12" spans="1:23">
      <c r="A12" s="1"/>
      <c r="B12" s="128"/>
      <c r="C12" s="128"/>
      <c r="D12" s="128"/>
      <c r="E12" s="128"/>
      <c r="F12" s="128"/>
      <c r="G12" s="128"/>
      <c r="H12" s="128"/>
      <c r="I12" s="128"/>
      <c r="K12" s="62"/>
      <c r="L12" s="53"/>
      <c r="M12" s="99" t="s">
        <v>172</v>
      </c>
      <c r="N12" s="100" t="s">
        <v>236</v>
      </c>
      <c r="O12" s="73"/>
      <c r="P12" s="3"/>
      <c r="U12" s="17" t="s">
        <v>210</v>
      </c>
      <c r="V12" s="27" t="str">
        <f>IF(U4="Left",P23&amp;" &lt; "&amp;V10,IF(U4="Right",P23&amp;" &gt; "&amp;V11,P23&amp;" &lt; "&amp;V10&amp;" OR "&amp;P23&amp;" &gt; "&amp;V11))</f>
        <v>t-value &gt; 1.706</v>
      </c>
    </row>
    <row r="13" spans="1:23">
      <c r="A13" s="1"/>
      <c r="B13" s="128"/>
      <c r="C13" s="128"/>
      <c r="D13" s="128"/>
      <c r="E13" s="128"/>
      <c r="F13" s="128"/>
      <c r="G13" s="128"/>
      <c r="H13" s="128"/>
      <c r="I13" s="128"/>
      <c r="L13" s="131" t="s">
        <v>238</v>
      </c>
      <c r="M13" s="131"/>
      <c r="N13" s="131"/>
      <c r="O13" s="131"/>
      <c r="P13" s="131"/>
    </row>
    <row r="14" spans="1:23">
      <c r="A14" s="1"/>
      <c r="B14" s="128"/>
      <c r="C14" s="128"/>
      <c r="D14" s="128"/>
      <c r="E14" s="128"/>
      <c r="F14" s="128"/>
      <c r="G14" s="128"/>
      <c r="H14" s="128"/>
      <c r="I14" s="128"/>
      <c r="R14" s="92" t="s">
        <v>217</v>
      </c>
      <c r="S14" s="62" t="s">
        <v>216</v>
      </c>
      <c r="T14" s="53"/>
      <c r="U14" s="53"/>
      <c r="V14" s="53"/>
    </row>
    <row r="15" spans="1:23">
      <c r="A15" s="1"/>
      <c r="B15" s="128"/>
      <c r="C15" s="128"/>
      <c r="D15" s="128"/>
      <c r="E15" s="128"/>
      <c r="F15" s="128"/>
      <c r="G15" s="128"/>
      <c r="H15" s="128"/>
      <c r="I15" s="128"/>
      <c r="K15" s="92" t="s">
        <v>142</v>
      </c>
      <c r="L15" s="62" t="s">
        <v>199</v>
      </c>
      <c r="M15" s="53"/>
      <c r="N15" s="53"/>
      <c r="O15" s="53"/>
      <c r="P15" s="53"/>
      <c r="R15" s="62"/>
      <c r="S15" s="53"/>
      <c r="T15" s="2" t="s">
        <v>207</v>
      </c>
      <c r="U15" s="106">
        <f>O6-P6</f>
        <v>1795</v>
      </c>
    </row>
    <row r="16" spans="1:23">
      <c r="B16" s="128"/>
      <c r="C16" s="128"/>
      <c r="D16" s="128"/>
      <c r="E16" s="128"/>
      <c r="F16" s="128"/>
      <c r="G16" s="128"/>
      <c r="H16" s="128"/>
      <c r="I16" s="128"/>
      <c r="K16" s="53"/>
      <c r="L16" s="53"/>
      <c r="O16" s="94" t="s">
        <v>63</v>
      </c>
      <c r="P16" s="98">
        <f>O8</f>
        <v>0.05</v>
      </c>
      <c r="R16" s="53"/>
      <c r="S16" s="53"/>
      <c r="T16" s="2"/>
      <c r="U16" s="1" t="str">
        <f>O4</f>
        <v>public</v>
      </c>
      <c r="V16" s="1" t="str">
        <f>P4</f>
        <v>private</v>
      </c>
    </row>
    <row r="17" spans="1:23" ht="12" customHeight="1">
      <c r="B17" s="128"/>
      <c r="C17" s="128"/>
      <c r="D17" s="128"/>
      <c r="E17" s="128"/>
      <c r="F17" s="128"/>
      <c r="G17" s="128"/>
      <c r="H17" s="128"/>
      <c r="I17" s="128"/>
      <c r="K17" s="93"/>
      <c r="L17" s="53"/>
      <c r="M17" s="53"/>
      <c r="N17" s="53"/>
      <c r="O17" s="53"/>
      <c r="P17" s="53"/>
      <c r="R17" s="53"/>
      <c r="S17" s="53"/>
      <c r="T17" s="2" t="s">
        <v>240</v>
      </c>
      <c r="U17" s="43">
        <f>O7^2/O5</f>
        <v>43576.5625</v>
      </c>
      <c r="V17" s="43">
        <f>P7^2/P5</f>
        <v>132612.5</v>
      </c>
    </row>
    <row r="18" spans="1:23">
      <c r="B18" s="1"/>
      <c r="C18" s="105"/>
      <c r="D18" s="105"/>
      <c r="K18" s="92" t="s">
        <v>143</v>
      </c>
      <c r="L18" s="62" t="s">
        <v>205</v>
      </c>
      <c r="M18" s="53"/>
      <c r="N18" s="53"/>
      <c r="O18" s="53"/>
      <c r="P18" s="53"/>
      <c r="R18" s="53"/>
      <c r="S18" s="53"/>
      <c r="T18" s="2" t="str">
        <f>"Test statistic: "&amp;P23</f>
        <v>Test statistic: t-value</v>
      </c>
      <c r="U18" s="43">
        <f>ROUND(U15/SQRT((U17+V17)),3)</f>
        <v>4.2759999999999998</v>
      </c>
      <c r="V18" s="43"/>
    </row>
    <row r="19" spans="1:23">
      <c r="F19" s="1" t="s">
        <v>245</v>
      </c>
      <c r="M19" s="95"/>
      <c r="O19" s="96" t="s">
        <v>209</v>
      </c>
      <c r="P19" s="95" t="b">
        <f>AND(O7&lt;&gt;"",P7&lt;&gt;"")</f>
        <v>1</v>
      </c>
      <c r="U19" t="str">
        <f>SUBSTITUTE(V12,P23,U18)</f>
        <v>4.276 &gt; 1.706</v>
      </c>
    </row>
    <row r="20" spans="1:23">
      <c r="F20" t="s">
        <v>233</v>
      </c>
      <c r="G20" t="s">
        <v>234</v>
      </c>
      <c r="K20" s="62"/>
      <c r="M20" s="95"/>
      <c r="O20" s="96" t="s">
        <v>235</v>
      </c>
      <c r="P20" s="84" t="b">
        <f>O7=P7</f>
        <v>0</v>
      </c>
      <c r="T20" s="43"/>
      <c r="U20" s="3" t="b">
        <v>1</v>
      </c>
    </row>
    <row r="21" spans="1:23">
      <c r="E21" s="2" t="s">
        <v>243</v>
      </c>
      <c r="F21" s="107">
        <v>21045</v>
      </c>
      <c r="G21" s="107">
        <v>22840</v>
      </c>
      <c r="O21" s="96" t="s">
        <v>203</v>
      </c>
      <c r="P21" s="95" t="b">
        <v>1</v>
      </c>
      <c r="S21" s="62" t="str">
        <f>IF(U20,"Reject H0", "Fail to Reject H0")</f>
        <v>Reject H0</v>
      </c>
    </row>
    <row r="22" spans="1:23">
      <c r="E22" s="2" t="s">
        <v>244</v>
      </c>
      <c r="F22" s="107">
        <v>12840</v>
      </c>
      <c r="G22" s="107">
        <v>11045</v>
      </c>
    </row>
    <row r="23" spans="1:23">
      <c r="C23" s="105"/>
      <c r="D23" s="105"/>
      <c r="O23" s="17" t="s">
        <v>206</v>
      </c>
      <c r="P23" s="91" t="str">
        <f>IF(AND(P19,P21,P20),"z-value","t-value")</f>
        <v>t-value</v>
      </c>
      <c r="R23" s="92" t="s">
        <v>218</v>
      </c>
      <c r="S23" s="1" t="s">
        <v>219</v>
      </c>
    </row>
    <row r="24" spans="1:23">
      <c r="C24" s="105"/>
      <c r="D24" s="105"/>
      <c r="S24" t="s">
        <v>25</v>
      </c>
      <c r="T24">
        <f>ROUND(IF(U4="Right",_xlfn.T.DIST.RT(ABS(U18),U9),IF(U4="Left",1-_xlfn.T.DIST(ABS(U18),U9,TRUE),_xlfn.T.DIST.2T(ABS(U18),U9))),4)</f>
        <v>1E-4</v>
      </c>
    </row>
    <row r="25" spans="1:23" ht="12" customHeight="1">
      <c r="C25" s="105"/>
      <c r="D25" s="105"/>
      <c r="S25" s="62" t="str">
        <f>IF(T24&lt;P16,"Reject H0", "Fail to Reject H0")</f>
        <v>Reject H0</v>
      </c>
    </row>
    <row r="26" spans="1:23">
      <c r="C26" s="105"/>
      <c r="D26" s="105"/>
      <c r="S26" s="133" t="str">
        <f>"We can"&amp;IF(U20,"","not")&amp;" conclude that "&amp;L13&amp;"."</f>
        <v>We can conclude that cost of private adoptions is higher.</v>
      </c>
      <c r="T26" s="133"/>
      <c r="U26" s="133"/>
      <c r="V26" s="133"/>
      <c r="W26" s="133"/>
    </row>
    <row r="27" spans="1:23" ht="12" customHeight="1">
      <c r="C27" s="105"/>
      <c r="D27" s="105"/>
      <c r="S27" s="133"/>
      <c r="T27" s="133"/>
      <c r="U27" s="133"/>
      <c r="V27" s="133"/>
      <c r="W27" s="133"/>
    </row>
    <row r="28" spans="1:23">
      <c r="C28" s="105"/>
      <c r="D28" s="43"/>
      <c r="S28" s="133"/>
      <c r="T28" s="133"/>
      <c r="U28" s="133"/>
      <c r="V28" s="133"/>
      <c r="W28" s="133"/>
    </row>
    <row r="29" spans="1:23">
      <c r="C29" s="105"/>
      <c r="D29" s="43"/>
      <c r="S29" s="133"/>
      <c r="T29" s="133"/>
      <c r="U29" s="133"/>
      <c r="V29" s="133"/>
      <c r="W29" s="133"/>
    </row>
    <row r="30" spans="1:23">
      <c r="A30" s="1" t="s">
        <v>80</v>
      </c>
      <c r="K30" s="1" t="s">
        <v>81</v>
      </c>
    </row>
    <row r="31" spans="1:23" ht="12" customHeight="1">
      <c r="A31" s="1" t="s">
        <v>298</v>
      </c>
      <c r="B31" s="128" t="s">
        <v>295</v>
      </c>
      <c r="C31" s="128"/>
      <c r="D31" s="128"/>
      <c r="E31" s="128"/>
      <c r="F31" s="128"/>
      <c r="G31" s="128"/>
      <c r="H31" s="128"/>
      <c r="I31" s="128"/>
      <c r="K31" s="1" t="s">
        <v>229</v>
      </c>
    </row>
    <row r="32" spans="1:23">
      <c r="A32" s="1"/>
      <c r="B32" s="128"/>
      <c r="C32" s="128"/>
      <c r="D32" s="128"/>
      <c r="E32" s="128"/>
      <c r="F32" s="128"/>
      <c r="G32" s="128"/>
      <c r="H32" s="128"/>
      <c r="I32" s="128"/>
      <c r="K32" s="92" t="s">
        <v>196</v>
      </c>
      <c r="L32" s="62" t="s">
        <v>197</v>
      </c>
      <c r="M32" s="60"/>
      <c r="N32" s="53"/>
      <c r="O32" s="53"/>
      <c r="P32" s="53"/>
      <c r="R32" s="92" t="s">
        <v>144</v>
      </c>
      <c r="S32" s="62" t="s">
        <v>204</v>
      </c>
    </row>
    <row r="33" spans="1:23">
      <c r="A33" s="1"/>
      <c r="B33" s="128"/>
      <c r="C33" s="128"/>
      <c r="D33" s="128"/>
      <c r="E33" s="128"/>
      <c r="F33" s="128"/>
      <c r="G33" s="128"/>
      <c r="H33" s="128"/>
      <c r="I33" s="128"/>
      <c r="K33" s="62"/>
      <c r="L33" s="62"/>
      <c r="N33" s="60"/>
      <c r="O33" s="88" t="s">
        <v>296</v>
      </c>
      <c r="P33" s="88" t="s">
        <v>297</v>
      </c>
      <c r="T33" s="2" t="s">
        <v>213</v>
      </c>
      <c r="U33" s="43" t="str">
        <f>IF(NOT(ISERROR(FIND("!=",N41))),"Two",IF(NOT(ISERROR(FIND("&lt;",N41))),"Left","Right"))</f>
        <v>Two</v>
      </c>
      <c r="V33" s="43"/>
    </row>
    <row r="34" spans="1:23">
      <c r="A34" s="1"/>
      <c r="B34" s="128"/>
      <c r="C34" s="128"/>
      <c r="D34" s="128"/>
      <c r="E34" s="128"/>
      <c r="F34" s="128"/>
      <c r="G34" s="128"/>
      <c r="H34" s="128"/>
      <c r="I34" s="128"/>
      <c r="K34" s="102"/>
      <c r="L34" s="73"/>
      <c r="M34" s="73"/>
      <c r="N34" s="74" t="s">
        <v>148</v>
      </c>
      <c r="O34" s="88">
        <v>12</v>
      </c>
      <c r="P34" s="88">
        <v>12</v>
      </c>
      <c r="U34" t="str">
        <f>O33</f>
        <v>Apple</v>
      </c>
      <c r="V34" t="str">
        <f>P33</f>
        <v>Spotify</v>
      </c>
    </row>
    <row r="35" spans="1:23">
      <c r="A35" s="1"/>
      <c r="B35" s="128"/>
      <c r="C35" s="128"/>
      <c r="D35" s="128"/>
      <c r="E35" s="128"/>
      <c r="F35" s="128"/>
      <c r="G35" s="128"/>
      <c r="H35" s="128"/>
      <c r="I35" s="128"/>
      <c r="K35" s="102"/>
      <c r="L35" s="73"/>
      <c r="M35" s="73"/>
      <c r="N35" s="74" t="s">
        <v>149</v>
      </c>
      <c r="O35" s="119">
        <v>1.65</v>
      </c>
      <c r="P35" s="120">
        <v>2.2000000000000002</v>
      </c>
      <c r="T35" s="2" t="s">
        <v>240</v>
      </c>
      <c r="U35" s="43">
        <f>O36^2/O34</f>
        <v>2.6133333333333338E-2</v>
      </c>
      <c r="V35" s="43">
        <f>P36^2/P34</f>
        <v>7.4999999999999997E-3</v>
      </c>
    </row>
    <row r="36" spans="1:23">
      <c r="A36" s="1"/>
      <c r="B36" s="128"/>
      <c r="C36" s="128"/>
      <c r="D36" s="128"/>
      <c r="E36" s="128"/>
      <c r="F36" s="128"/>
      <c r="G36" s="128"/>
      <c r="H36" s="128"/>
      <c r="I36" s="128"/>
      <c r="K36" s="102"/>
      <c r="L36" s="73"/>
      <c r="M36" s="73"/>
      <c r="N36" s="74" t="s">
        <v>239</v>
      </c>
      <c r="O36" s="119">
        <v>0.56000000000000005</v>
      </c>
      <c r="P36" s="120">
        <v>0.3</v>
      </c>
      <c r="T36" s="2" t="s">
        <v>241</v>
      </c>
      <c r="U36" s="43">
        <f>U35^2</f>
        <v>6.8295111111111141E-4</v>
      </c>
      <c r="V36" s="43">
        <f>V35^2</f>
        <v>5.6249999999999998E-5</v>
      </c>
      <c r="W36" s="97"/>
    </row>
    <row r="37" spans="1:23">
      <c r="A37" s="1"/>
      <c r="B37" s="128"/>
      <c r="C37" s="128"/>
      <c r="D37" s="128"/>
      <c r="E37" s="128"/>
      <c r="F37" s="128"/>
      <c r="G37" s="128"/>
      <c r="H37" s="128"/>
      <c r="I37" s="128"/>
      <c r="K37" s="102"/>
      <c r="L37" s="73"/>
      <c r="M37" s="73"/>
      <c r="N37" s="74" t="s">
        <v>230</v>
      </c>
      <c r="O37" s="88">
        <v>0.05</v>
      </c>
      <c r="P37" s="103">
        <f>O37</f>
        <v>0.05</v>
      </c>
      <c r="T37" s="2" t="s">
        <v>242</v>
      </c>
      <c r="U37" s="43">
        <f>O34-1</f>
        <v>11</v>
      </c>
      <c r="V37" s="43">
        <f>P34-1</f>
        <v>11</v>
      </c>
      <c r="W37" s="97"/>
    </row>
    <row r="38" spans="1:23">
      <c r="A38" s="1"/>
      <c r="B38" s="128"/>
      <c r="C38" s="128"/>
      <c r="D38" s="128"/>
      <c r="E38" s="128"/>
      <c r="F38" s="128"/>
      <c r="G38" s="128"/>
      <c r="H38" s="128"/>
      <c r="I38" s="128"/>
      <c r="K38" s="53"/>
      <c r="L38" s="53"/>
      <c r="M38" s="53"/>
      <c r="N38" s="53"/>
      <c r="O38" s="53"/>
      <c r="P38" s="53"/>
      <c r="T38" s="2" t="s">
        <v>45</v>
      </c>
      <c r="U38" s="43">
        <f>_xlfn.FLOOR.MATH((U35+V35)^2/((U36/U37)+(V36/V37)))</f>
        <v>16</v>
      </c>
      <c r="V38" s="43"/>
      <c r="W38" s="53"/>
    </row>
    <row r="39" spans="1:23">
      <c r="A39" s="1"/>
      <c r="B39" s="128"/>
      <c r="C39" s="128"/>
      <c r="D39" s="128"/>
      <c r="E39" s="128"/>
      <c r="F39" s="128"/>
      <c r="G39" s="128"/>
      <c r="H39" s="128"/>
      <c r="I39" s="128"/>
      <c r="K39" s="92" t="s">
        <v>141</v>
      </c>
      <c r="L39" s="62" t="s">
        <v>198</v>
      </c>
      <c r="O39" s="53"/>
      <c r="P39" s="53"/>
      <c r="T39" s="2" t="s">
        <v>212</v>
      </c>
      <c r="U39" s="43">
        <f>IF(U33="Two",P45/2,IF(U33="Left",P45,""))</f>
        <v>2.5000000000000001E-2</v>
      </c>
      <c r="V39" s="43">
        <f>IF(P52="z-value",IFERROR(ROUND(_xlfn.NORM.S.INV(U39),3),""),IFERROR(ROUND(_xlfn.T.INV(U39,U38),3),""))</f>
        <v>-2.12</v>
      </c>
    </row>
    <row r="40" spans="1:23">
      <c r="A40" s="1"/>
      <c r="B40" s="128"/>
      <c r="C40" s="128"/>
      <c r="D40" s="128"/>
      <c r="E40" s="128"/>
      <c r="F40" s="128"/>
      <c r="G40" s="128"/>
      <c r="H40" s="128"/>
      <c r="I40" s="128"/>
      <c r="K40" s="53"/>
      <c r="L40" s="53"/>
      <c r="M40" s="99" t="s">
        <v>171</v>
      </c>
      <c r="N40" s="100" t="str">
        <f>"xbar"&amp;O33&amp;" = "&amp;"xbar"&amp;P33</f>
        <v>xbarApple = xbarSpotify</v>
      </c>
      <c r="O40" s="73"/>
      <c r="P40" s="3"/>
      <c r="T40" s="2" t="s">
        <v>214</v>
      </c>
      <c r="U40" s="43">
        <f>IF(U33="Two",1-P45/2,IF(U33="Left","",1-P45))</f>
        <v>0.97499999999999998</v>
      </c>
      <c r="V40" s="43">
        <f>IF(P52="z-value",IFERROR(ROUND(_xlfn.NORM.S.INV(U40),3),""),IFERROR(ROUND(_xlfn.T.INV(U40,U38),3),""))</f>
        <v>2.12</v>
      </c>
    </row>
    <row r="41" spans="1:23">
      <c r="A41" s="1"/>
      <c r="B41" s="128"/>
      <c r="C41" s="128"/>
      <c r="D41" s="128"/>
      <c r="E41" s="128"/>
      <c r="F41" s="128"/>
      <c r="G41" s="128"/>
      <c r="H41" s="128"/>
      <c r="I41" s="128"/>
      <c r="K41" s="62"/>
      <c r="L41" s="53"/>
      <c r="M41" s="99" t="s">
        <v>172</v>
      </c>
      <c r="N41" s="100" t="str">
        <f>"xbar"&amp;O33&amp;" != "&amp;"xbar"&amp;P33</f>
        <v>xbarApple != xbarSpotify</v>
      </c>
      <c r="O41" s="73"/>
      <c r="P41" s="3"/>
      <c r="U41" s="17" t="s">
        <v>210</v>
      </c>
      <c r="V41" s="27" t="str">
        <f>IF(U33="Left",P52&amp;" &lt; "&amp;V39,IF(U33="Right",P52&amp;" &gt; "&amp;V40,P52&amp;" &lt; "&amp;V39&amp;" OR "&amp;P52&amp;" &gt; "&amp;V40))</f>
        <v>t-value &lt; -2.12 OR t-value &gt; 2.12</v>
      </c>
    </row>
    <row r="42" spans="1:23">
      <c r="A42" s="1"/>
      <c r="B42" s="90"/>
      <c r="C42" s="90"/>
      <c r="D42" s="90"/>
      <c r="E42" s="90"/>
      <c r="F42" s="90"/>
      <c r="G42" s="90"/>
      <c r="H42" s="90"/>
      <c r="I42" s="90"/>
      <c r="L42" s="131" t="s">
        <v>299</v>
      </c>
      <c r="M42" s="131"/>
      <c r="N42" s="131"/>
      <c r="O42" s="131"/>
      <c r="P42" s="131"/>
    </row>
    <row r="43" spans="1:23">
      <c r="A43" s="1"/>
      <c r="B43" s="90"/>
      <c r="C43" s="90"/>
      <c r="D43" s="90"/>
      <c r="E43" s="90"/>
      <c r="F43" s="90"/>
      <c r="G43" s="90"/>
      <c r="H43" s="90"/>
      <c r="I43" s="90"/>
      <c r="R43" s="92" t="s">
        <v>217</v>
      </c>
      <c r="S43" s="62" t="s">
        <v>216</v>
      </c>
      <c r="T43" s="53"/>
      <c r="U43" s="53"/>
      <c r="V43" s="53"/>
    </row>
    <row r="44" spans="1:23">
      <c r="A44" s="1"/>
      <c r="B44" s="90"/>
      <c r="C44" s="90"/>
      <c r="D44" s="90"/>
      <c r="E44" s="90"/>
      <c r="F44" s="90"/>
      <c r="G44" s="90"/>
      <c r="H44" s="90"/>
      <c r="I44" s="90"/>
      <c r="K44" s="92" t="s">
        <v>142</v>
      </c>
      <c r="L44" s="62" t="s">
        <v>199</v>
      </c>
      <c r="M44" s="53"/>
      <c r="N44" s="53"/>
      <c r="O44" s="53"/>
      <c r="P44" s="53"/>
      <c r="R44" s="62"/>
      <c r="S44" s="53"/>
      <c r="T44" s="2" t="s">
        <v>207</v>
      </c>
      <c r="U44" s="106">
        <f>O35-P35</f>
        <v>-0.55000000000000027</v>
      </c>
    </row>
    <row r="45" spans="1:23">
      <c r="B45" s="90"/>
      <c r="C45" s="90"/>
      <c r="D45" s="90"/>
      <c r="E45" s="90"/>
      <c r="F45" s="90"/>
      <c r="G45" s="90"/>
      <c r="H45" s="90"/>
      <c r="I45" s="90"/>
      <c r="K45" s="53"/>
      <c r="L45" s="53"/>
      <c r="O45" s="94" t="s">
        <v>63</v>
      </c>
      <c r="P45" s="98">
        <f>O37</f>
        <v>0.05</v>
      </c>
      <c r="R45" s="53"/>
      <c r="S45" s="53"/>
      <c r="T45" s="2"/>
      <c r="U45" s="1" t="str">
        <f>O33</f>
        <v>Apple</v>
      </c>
      <c r="V45" s="1" t="str">
        <f>P33</f>
        <v>Spotify</v>
      </c>
    </row>
    <row r="46" spans="1:23">
      <c r="B46" s="90"/>
      <c r="C46" s="90"/>
      <c r="D46" s="90"/>
      <c r="E46" s="90"/>
      <c r="F46" s="90"/>
      <c r="G46" s="90"/>
      <c r="H46" s="90"/>
      <c r="I46" s="90"/>
      <c r="K46" s="93"/>
      <c r="L46" s="53"/>
      <c r="M46" s="53"/>
      <c r="N46" s="53"/>
      <c r="O46" s="53"/>
      <c r="P46" s="53"/>
      <c r="R46" s="53"/>
      <c r="S46" s="53"/>
      <c r="T46" s="2" t="s">
        <v>240</v>
      </c>
      <c r="U46" s="43">
        <f>O36^2/O34</f>
        <v>2.6133333333333338E-2</v>
      </c>
      <c r="V46" s="43">
        <f>P36^2/P34</f>
        <v>7.4999999999999997E-3</v>
      </c>
    </row>
    <row r="47" spans="1:23">
      <c r="B47" s="1"/>
      <c r="C47" s="105"/>
      <c r="D47" s="105"/>
      <c r="K47" s="92" t="s">
        <v>143</v>
      </c>
      <c r="L47" s="62" t="s">
        <v>205</v>
      </c>
      <c r="M47" s="53"/>
      <c r="N47" s="53"/>
      <c r="O47" s="53"/>
      <c r="P47" s="53"/>
      <c r="R47" s="53"/>
      <c r="S47" s="53"/>
      <c r="T47" s="2" t="str">
        <f>"Test statistic: "&amp;P52</f>
        <v>Test statistic: t-value</v>
      </c>
      <c r="U47" s="43">
        <f>ROUND(U44/SQRT((U46+V46)),3)</f>
        <v>-2.9990000000000001</v>
      </c>
      <c r="V47" s="43"/>
    </row>
    <row r="48" spans="1:23">
      <c r="F48" s="1"/>
      <c r="M48" s="95"/>
      <c r="O48" s="96" t="s">
        <v>209</v>
      </c>
      <c r="P48" s="95" t="b">
        <f>AND(O36&lt;&gt;"",P36&lt;&gt;"")</f>
        <v>1</v>
      </c>
      <c r="U48" t="str">
        <f>SUBSTITUTE(V41,P52,U47)</f>
        <v>-2.999 &lt; -2.12 OR -2.999 &gt; 2.12</v>
      </c>
    </row>
    <row r="49" spans="1:23">
      <c r="K49" s="62"/>
      <c r="M49" s="95"/>
      <c r="O49" s="96" t="s">
        <v>235</v>
      </c>
      <c r="P49" s="84" t="b">
        <f>O36=P36</f>
        <v>0</v>
      </c>
      <c r="T49" s="43"/>
      <c r="U49" s="3" t="b">
        <v>1</v>
      </c>
    </row>
    <row r="50" spans="1:23">
      <c r="E50" s="2"/>
      <c r="F50" s="107"/>
      <c r="G50" s="107"/>
      <c r="O50" s="96" t="s">
        <v>203</v>
      </c>
      <c r="P50" s="95" t="b">
        <v>1</v>
      </c>
      <c r="S50" s="62" t="str">
        <f>IF(U49,"Reject H0", "Fail to Reject H0")</f>
        <v>Reject H0</v>
      </c>
    </row>
    <row r="51" spans="1:23">
      <c r="E51" s="2"/>
      <c r="F51" s="107"/>
      <c r="G51" s="107"/>
    </row>
    <row r="52" spans="1:23">
      <c r="C52" s="105"/>
      <c r="D52" s="105"/>
      <c r="O52" s="17" t="s">
        <v>206</v>
      </c>
      <c r="P52" s="91" t="str">
        <f>IF(AND(P48,P50,P49),"z-value","t-value")</f>
        <v>t-value</v>
      </c>
      <c r="R52" s="92" t="s">
        <v>218</v>
      </c>
      <c r="S52" s="1" t="s">
        <v>219</v>
      </c>
    </row>
    <row r="53" spans="1:23">
      <c r="C53" s="105"/>
      <c r="D53" s="105"/>
      <c r="S53" t="s">
        <v>25</v>
      </c>
      <c r="T53">
        <f>ROUND(IF(U33="Right",_xlfn.T.DIST.RT(ABS(U47),U38),IF(U33="Left",1-_xlfn.T.DIST(ABS(U47),U38,TRUE),_xlfn.T.DIST.2T(ABS(U47),U38))),4)</f>
        <v>8.5000000000000006E-3</v>
      </c>
    </row>
    <row r="54" spans="1:23">
      <c r="S54" s="62" t="str">
        <f>IF(T53&lt;P45,"Reject H0", "Fail to Reject H0")</f>
        <v>Reject H0</v>
      </c>
    </row>
    <row r="55" spans="1:23">
      <c r="S55" s="133" t="str">
        <f>"We can"&amp;IF(U49,"","not")&amp;" conclude that "&amp;L42&amp;"."</f>
        <v>We can conclude that there is a difference in the mean number of households picking either service.</v>
      </c>
      <c r="T55" s="133"/>
      <c r="U55" s="133"/>
      <c r="V55" s="133"/>
      <c r="W55" s="133"/>
    </row>
    <row r="56" spans="1:23">
      <c r="S56" s="133"/>
      <c r="T56" s="133"/>
      <c r="U56" s="133"/>
      <c r="V56" s="133"/>
      <c r="W56" s="133"/>
    </row>
    <row r="57" spans="1:23">
      <c r="S57" s="133"/>
      <c r="T57" s="133"/>
      <c r="U57" s="133"/>
      <c r="V57" s="133"/>
      <c r="W57" s="133"/>
    </row>
    <row r="58" spans="1:23">
      <c r="S58" s="133"/>
      <c r="T58" s="133"/>
      <c r="U58" s="133"/>
      <c r="V58" s="133"/>
      <c r="W58" s="133"/>
    </row>
    <row r="60" spans="1:23">
      <c r="A60" s="1" t="s">
        <v>80</v>
      </c>
      <c r="K60" s="1" t="s">
        <v>81</v>
      </c>
    </row>
    <row r="61" spans="1:23">
      <c r="A61" s="1" t="s">
        <v>300</v>
      </c>
      <c r="B61" s="128" t="s">
        <v>303</v>
      </c>
      <c r="C61" s="128"/>
      <c r="D61" s="128"/>
      <c r="E61" s="128"/>
      <c r="F61" s="128"/>
      <c r="G61" s="128"/>
      <c r="H61" s="128"/>
      <c r="I61" s="128"/>
      <c r="K61" s="1" t="s">
        <v>229</v>
      </c>
    </row>
    <row r="62" spans="1:23">
      <c r="A62" s="1"/>
      <c r="B62" s="128"/>
      <c r="C62" s="128"/>
      <c r="D62" s="128"/>
      <c r="E62" s="128"/>
      <c r="F62" s="128"/>
      <c r="G62" s="128"/>
      <c r="H62" s="128"/>
      <c r="I62" s="128"/>
      <c r="K62" s="92" t="s">
        <v>196</v>
      </c>
      <c r="L62" s="62" t="s">
        <v>197</v>
      </c>
      <c r="M62" s="60"/>
      <c r="N62" s="53"/>
      <c r="O62" s="53"/>
      <c r="P62" s="53"/>
      <c r="R62" s="92" t="s">
        <v>144</v>
      </c>
      <c r="S62" s="62" t="s">
        <v>204</v>
      </c>
    </row>
    <row r="63" spans="1:23">
      <c r="A63" s="1"/>
      <c r="B63" s="128"/>
      <c r="C63" s="128"/>
      <c r="D63" s="128"/>
      <c r="E63" s="128"/>
      <c r="F63" s="128"/>
      <c r="G63" s="128"/>
      <c r="H63" s="128"/>
      <c r="I63" s="128"/>
      <c r="K63" s="62"/>
      <c r="L63" s="62"/>
      <c r="N63" s="60"/>
      <c r="O63" s="88" t="str">
        <f>C73</f>
        <v>under 25</v>
      </c>
      <c r="P63" s="88" t="str">
        <f>D73</f>
        <v>over 60</v>
      </c>
      <c r="T63" s="2" t="s">
        <v>213</v>
      </c>
      <c r="U63" s="43" t="str">
        <f>IF(NOT(ISERROR(FIND("!=",N71))),"Two",IF(NOT(ISERROR(FIND("&lt;",N71))),"Left","Right"))</f>
        <v>Right</v>
      </c>
      <c r="V63" s="43"/>
    </row>
    <row r="64" spans="1:23">
      <c r="A64" s="1"/>
      <c r="B64" s="128"/>
      <c r="C64" s="128"/>
      <c r="D64" s="128"/>
      <c r="E64" s="128"/>
      <c r="F64" s="128"/>
      <c r="G64" s="128"/>
      <c r="H64" s="128"/>
      <c r="I64" s="128"/>
      <c r="K64" s="102"/>
      <c r="L64" s="73"/>
      <c r="M64" s="73"/>
      <c r="N64" s="74" t="s">
        <v>148</v>
      </c>
      <c r="O64" s="88">
        <f>COUNT(C74:C84)</f>
        <v>8</v>
      </c>
      <c r="P64" s="88">
        <f>COUNT(D74:D84)</f>
        <v>11</v>
      </c>
      <c r="U64" t="str">
        <f>O63</f>
        <v>under 25</v>
      </c>
      <c r="V64" t="str">
        <f>P63</f>
        <v>over 60</v>
      </c>
    </row>
    <row r="65" spans="1:23">
      <c r="A65" s="1"/>
      <c r="B65" s="128"/>
      <c r="C65" s="128"/>
      <c r="D65" s="128"/>
      <c r="E65" s="128"/>
      <c r="F65" s="128"/>
      <c r="G65" s="128"/>
      <c r="H65" s="128"/>
      <c r="I65" s="128"/>
      <c r="K65" s="102"/>
      <c r="L65" s="73"/>
      <c r="M65" s="73"/>
      <c r="N65" s="74" t="s">
        <v>149</v>
      </c>
      <c r="O65" s="119">
        <f>AVERAGE(C74:C84)</f>
        <v>10.375</v>
      </c>
      <c r="P65" s="119">
        <f>AVERAGE(D74:D84)</f>
        <v>5.6363636363636367</v>
      </c>
      <c r="T65" s="2" t="s">
        <v>240</v>
      </c>
      <c r="U65" s="43">
        <f>O66^2/O64</f>
        <v>0.64062500000000011</v>
      </c>
      <c r="V65" s="43">
        <f>P66^2/P64</f>
        <v>0.55041322314049601</v>
      </c>
    </row>
    <row r="66" spans="1:23">
      <c r="A66" s="1"/>
      <c r="B66" s="128"/>
      <c r="C66" s="128"/>
      <c r="D66" s="128"/>
      <c r="E66" s="128"/>
      <c r="F66" s="128"/>
      <c r="G66" s="128"/>
      <c r="H66" s="128"/>
      <c r="I66" s="128"/>
      <c r="K66" s="102"/>
      <c r="L66" s="73"/>
      <c r="M66" s="73"/>
      <c r="N66" s="74" t="s">
        <v>239</v>
      </c>
      <c r="O66" s="119">
        <f>_xlfn.STDEV.S(C74:C84)</f>
        <v>2.2638462845343543</v>
      </c>
      <c r="P66" s="119">
        <f>_xlfn.STDEV.S(D74:D84)</f>
        <v>2.4605985967941737</v>
      </c>
      <c r="T66" s="2" t="s">
        <v>241</v>
      </c>
      <c r="U66" s="43">
        <f>U65^2</f>
        <v>0.41040039062500017</v>
      </c>
      <c r="V66" s="43">
        <f>V65^2</f>
        <v>0.30295471620790948</v>
      </c>
      <c r="W66" s="97"/>
    </row>
    <row r="67" spans="1:23">
      <c r="A67" s="1"/>
      <c r="B67" s="128"/>
      <c r="C67" s="128"/>
      <c r="D67" s="128"/>
      <c r="E67" s="128"/>
      <c r="F67" s="128"/>
      <c r="G67" s="128"/>
      <c r="H67" s="128"/>
      <c r="I67" s="128"/>
      <c r="K67" s="102"/>
      <c r="L67" s="73"/>
      <c r="M67" s="73"/>
      <c r="N67" s="74" t="s">
        <v>230</v>
      </c>
      <c r="O67" s="88">
        <v>0.01</v>
      </c>
      <c r="P67" s="103">
        <f>O67</f>
        <v>0.01</v>
      </c>
      <c r="T67" s="2" t="s">
        <v>242</v>
      </c>
      <c r="U67" s="43">
        <f>O64-1</f>
        <v>7</v>
      </c>
      <c r="V67" s="43">
        <f>P64-1</f>
        <v>10</v>
      </c>
      <c r="W67" s="97"/>
    </row>
    <row r="68" spans="1:23">
      <c r="A68" s="1"/>
      <c r="B68" s="128"/>
      <c r="C68" s="128"/>
      <c r="D68" s="128"/>
      <c r="E68" s="128"/>
      <c r="F68" s="128"/>
      <c r="G68" s="128"/>
      <c r="H68" s="128"/>
      <c r="I68" s="128"/>
      <c r="K68" s="53"/>
      <c r="L68" s="53"/>
      <c r="M68" s="53"/>
      <c r="N68" s="53"/>
      <c r="O68" s="53"/>
      <c r="P68" s="53"/>
      <c r="T68" s="2" t="s">
        <v>45</v>
      </c>
      <c r="U68" s="43">
        <f>_xlfn.FLOOR.MATH((U65+V65)^2/((U66/U67)+(V66/V67)))</f>
        <v>15</v>
      </c>
      <c r="V68" s="43"/>
      <c r="W68" s="53"/>
    </row>
    <row r="69" spans="1:23">
      <c r="A69" s="1"/>
      <c r="B69" s="128"/>
      <c r="C69" s="128"/>
      <c r="D69" s="128"/>
      <c r="E69" s="128"/>
      <c r="F69" s="128"/>
      <c r="G69" s="128"/>
      <c r="H69" s="128"/>
      <c r="I69" s="128"/>
      <c r="K69" s="92" t="s">
        <v>141</v>
      </c>
      <c r="L69" s="62" t="s">
        <v>198</v>
      </c>
      <c r="O69" s="53"/>
      <c r="P69" s="53"/>
      <c r="T69" s="2" t="s">
        <v>212</v>
      </c>
      <c r="U69" s="43" t="str">
        <f>IF(U63="Two",P75/2,IF(U63="Left",P75,""))</f>
        <v/>
      </c>
      <c r="V69" s="43" t="str">
        <f>IF(P82="z-value",IFERROR(ROUND(_xlfn.NORM.S.INV(U69),3),""),IFERROR(ROUND(_xlfn.T.INV(U69,U68),3),""))</f>
        <v/>
      </c>
    </row>
    <row r="70" spans="1:23">
      <c r="A70" s="1"/>
      <c r="B70" s="128"/>
      <c r="C70" s="128"/>
      <c r="D70" s="128"/>
      <c r="E70" s="128"/>
      <c r="F70" s="128"/>
      <c r="G70" s="128"/>
      <c r="H70" s="128"/>
      <c r="I70" s="128"/>
      <c r="K70" s="53"/>
      <c r="L70" s="53"/>
      <c r="M70" s="99" t="s">
        <v>171</v>
      </c>
      <c r="N70" s="100" t="str">
        <f>"xbar"&amp;O63&amp;" &lt;= "&amp;"xbar"&amp;P63</f>
        <v>xbarunder 25 &lt;= xbarover 60</v>
      </c>
      <c r="O70" s="73"/>
      <c r="P70" s="3"/>
      <c r="T70" s="2" t="s">
        <v>214</v>
      </c>
      <c r="U70" s="43">
        <f>IF(U63="Two",1-P75/2,IF(U63="Left","",1-P75))</f>
        <v>0.99</v>
      </c>
      <c r="V70" s="43">
        <f>IF(P82="z-value",IFERROR(ROUND(_xlfn.NORM.S.INV(U70),3),""),IFERROR(ROUND(_xlfn.T.INV(U70,U68),3),""))</f>
        <v>2.6019999999999999</v>
      </c>
    </row>
    <row r="71" spans="1:23">
      <c r="A71" s="1"/>
      <c r="B71" s="128"/>
      <c r="C71" s="128"/>
      <c r="D71" s="128"/>
      <c r="E71" s="128"/>
      <c r="F71" s="128"/>
      <c r="G71" s="128"/>
      <c r="H71" s="128"/>
      <c r="I71" s="128"/>
      <c r="K71" s="62"/>
      <c r="L71" s="53"/>
      <c r="M71" s="99" t="s">
        <v>172</v>
      </c>
      <c r="N71" s="100" t="str">
        <f>"xbar"&amp;O63&amp;" &gt; "&amp;"xbar"&amp;P63</f>
        <v>xbarunder 25 &gt; xbarover 60</v>
      </c>
      <c r="O71" s="73"/>
      <c r="P71" s="3"/>
      <c r="U71" s="17" t="s">
        <v>210</v>
      </c>
      <c r="V71" s="27" t="str">
        <f>IF(U63="Left",P82&amp;" &lt; "&amp;V69,IF(U63="Right",P82&amp;" &gt; "&amp;V70,P82&amp;" &lt; "&amp;V69&amp;" OR "&amp;P82&amp;" &gt; "&amp;V70))</f>
        <v>t-value &gt; 2.602</v>
      </c>
    </row>
    <row r="72" spans="1:23">
      <c r="A72" s="1"/>
      <c r="B72" s="90"/>
      <c r="C72" s="90"/>
      <c r="D72" s="90"/>
      <c r="E72" s="90"/>
      <c r="F72" s="90"/>
      <c r="G72" s="90"/>
      <c r="H72" s="90"/>
      <c r="I72" s="90"/>
      <c r="L72" s="131" t="s">
        <v>304</v>
      </c>
      <c r="M72" s="131"/>
      <c r="N72" s="131"/>
      <c r="O72" s="131"/>
      <c r="P72" s="131"/>
    </row>
    <row r="73" spans="1:23">
      <c r="A73" s="1"/>
      <c r="B73" s="90"/>
      <c r="C73" s="121" t="s">
        <v>301</v>
      </c>
      <c r="D73" s="121" t="s">
        <v>302</v>
      </c>
      <c r="E73" s="90"/>
      <c r="F73" s="90"/>
      <c r="G73" s="90"/>
      <c r="H73" s="90"/>
      <c r="I73" s="90"/>
      <c r="R73" s="92" t="s">
        <v>217</v>
      </c>
      <c r="S73" s="62" t="s">
        <v>216</v>
      </c>
      <c r="T73" s="53"/>
      <c r="U73" s="53"/>
      <c r="V73" s="53"/>
    </row>
    <row r="74" spans="1:23">
      <c r="A74" s="1"/>
      <c r="B74" s="90"/>
      <c r="C74" s="121">
        <v>10</v>
      </c>
      <c r="D74" s="121">
        <v>4</v>
      </c>
      <c r="E74" s="90"/>
      <c r="F74" s="90"/>
      <c r="G74" s="90"/>
      <c r="H74" s="90"/>
      <c r="I74" s="90"/>
      <c r="K74" s="92" t="s">
        <v>142</v>
      </c>
      <c r="L74" s="62" t="s">
        <v>199</v>
      </c>
      <c r="M74" s="53"/>
      <c r="N74" s="53"/>
      <c r="O74" s="53"/>
      <c r="P74" s="53"/>
      <c r="R74" s="62"/>
      <c r="S74" s="53"/>
      <c r="T74" s="2" t="s">
        <v>207</v>
      </c>
      <c r="U74" s="106">
        <f>O65-P65</f>
        <v>4.7386363636363633</v>
      </c>
    </row>
    <row r="75" spans="1:23">
      <c r="B75" s="90"/>
      <c r="C75" s="121">
        <v>10</v>
      </c>
      <c r="D75" s="121">
        <v>8</v>
      </c>
      <c r="E75" s="90"/>
      <c r="F75" s="90"/>
      <c r="G75" s="90"/>
      <c r="H75" s="90"/>
      <c r="I75" s="90"/>
      <c r="K75" s="53"/>
      <c r="L75" s="53"/>
      <c r="O75" s="94" t="s">
        <v>63</v>
      </c>
      <c r="P75" s="98">
        <f>O67</f>
        <v>0.01</v>
      </c>
      <c r="R75" s="53"/>
      <c r="S75" s="53"/>
      <c r="T75" s="2"/>
      <c r="U75" s="1" t="str">
        <f>O63</f>
        <v>under 25</v>
      </c>
      <c r="V75" s="1" t="str">
        <f>P63</f>
        <v>over 60</v>
      </c>
    </row>
    <row r="76" spans="1:23">
      <c r="B76" s="90"/>
      <c r="C76" s="121">
        <v>11</v>
      </c>
      <c r="D76" s="121">
        <v>7</v>
      </c>
      <c r="E76" s="90"/>
      <c r="F76" s="90"/>
      <c r="G76" s="90"/>
      <c r="H76" s="90"/>
      <c r="I76" s="90"/>
      <c r="K76" s="93"/>
      <c r="L76" s="53"/>
      <c r="M76" s="53"/>
      <c r="N76" s="53"/>
      <c r="O76" s="53"/>
      <c r="P76" s="53"/>
      <c r="R76" s="53"/>
      <c r="S76" s="53"/>
      <c r="T76" s="2" t="s">
        <v>240</v>
      </c>
      <c r="U76" s="43">
        <f>O66^2/O64</f>
        <v>0.64062500000000011</v>
      </c>
      <c r="V76" s="43">
        <f>P66^2/P64</f>
        <v>0.55041322314049601</v>
      </c>
    </row>
    <row r="77" spans="1:23">
      <c r="B77" s="1"/>
      <c r="C77" s="121">
        <v>15</v>
      </c>
      <c r="D77" s="121">
        <v>7</v>
      </c>
      <c r="K77" s="92" t="s">
        <v>143</v>
      </c>
      <c r="L77" s="62" t="s">
        <v>205</v>
      </c>
      <c r="M77" s="53"/>
      <c r="N77" s="53"/>
      <c r="O77" s="53"/>
      <c r="P77" s="53"/>
      <c r="R77" s="53"/>
      <c r="S77" s="53"/>
      <c r="T77" s="2" t="str">
        <f>"Test statistic: "&amp;P82</f>
        <v>Test statistic: t-value</v>
      </c>
      <c r="U77" s="43">
        <f>ROUND(U74/SQRT((U76+V76)),3)</f>
        <v>4.3419999999999996</v>
      </c>
      <c r="V77" s="43"/>
    </row>
    <row r="78" spans="1:23">
      <c r="C78" s="121">
        <v>7</v>
      </c>
      <c r="D78" s="121">
        <v>4</v>
      </c>
      <c r="F78" s="1"/>
      <c r="M78" s="95"/>
      <c r="O78" s="96" t="s">
        <v>209</v>
      </c>
      <c r="P78" s="95" t="b">
        <f>AND(O66&lt;&gt;"",P66&lt;&gt;"")</f>
        <v>1</v>
      </c>
      <c r="U78" t="str">
        <f>SUBSTITUTE(V71,P82,U77)</f>
        <v>4.342 &gt; 2.602</v>
      </c>
    </row>
    <row r="79" spans="1:23">
      <c r="C79" s="121">
        <v>11</v>
      </c>
      <c r="D79" s="121">
        <v>5</v>
      </c>
      <c r="K79" s="62"/>
      <c r="M79" s="95"/>
      <c r="O79" s="96" t="s">
        <v>235</v>
      </c>
      <c r="P79" s="84" t="b">
        <f>O66=P66</f>
        <v>0</v>
      </c>
      <c r="T79" s="43"/>
      <c r="U79" s="3" t="b">
        <v>1</v>
      </c>
    </row>
    <row r="80" spans="1:23">
      <c r="C80" s="121">
        <v>10</v>
      </c>
      <c r="D80" s="121">
        <v>1</v>
      </c>
      <c r="E80" s="2"/>
      <c r="F80" s="107"/>
      <c r="G80" s="107"/>
      <c r="O80" s="96" t="s">
        <v>203</v>
      </c>
      <c r="P80" s="95" t="b">
        <v>1</v>
      </c>
      <c r="S80" s="62" t="str">
        <f>IF(U79,"Reject H0", "Fail to Reject H0")</f>
        <v>Reject H0</v>
      </c>
    </row>
    <row r="81" spans="3:23">
      <c r="C81" s="121">
        <v>9</v>
      </c>
      <c r="D81" s="121">
        <v>7</v>
      </c>
      <c r="E81" s="2"/>
      <c r="F81" s="107"/>
      <c r="G81" s="107"/>
    </row>
    <row r="82" spans="3:23">
      <c r="C82" s="122"/>
      <c r="D82" s="121">
        <v>4</v>
      </c>
      <c r="O82" s="17" t="s">
        <v>206</v>
      </c>
      <c r="P82" s="91" t="str">
        <f>IF(AND(P78,P80,P79),"z-value","t-value")</f>
        <v>t-value</v>
      </c>
      <c r="R82" s="92" t="s">
        <v>218</v>
      </c>
      <c r="S82" s="1" t="s">
        <v>219</v>
      </c>
    </row>
    <row r="83" spans="3:23">
      <c r="C83" s="122"/>
      <c r="D83" s="121">
        <v>10</v>
      </c>
      <c r="S83" t="s">
        <v>25</v>
      </c>
      <c r="T83">
        <f>ROUND(IF(U63="Right",_xlfn.T.DIST.RT(ABS(U77),U68),IF(U63="Left",1-_xlfn.T.DIST(ABS(U77),U68,TRUE),_xlfn.T.DIST.2T(ABS(U77),U68))),4)</f>
        <v>2.9999999999999997E-4</v>
      </c>
    </row>
    <row r="84" spans="3:23">
      <c r="C84" s="2"/>
      <c r="D84" s="121">
        <v>5</v>
      </c>
      <c r="S84" s="62" t="str">
        <f>IF(T83&lt;P75,"Reject H0", "Fail to Reject H0")</f>
        <v>Reject H0</v>
      </c>
    </row>
    <row r="85" spans="3:23">
      <c r="S85" s="133" t="str">
        <f>"We can"&amp;IF(U79,"","not")&amp;" conclude that "&amp;L72&amp;"."</f>
        <v>We can conclude that younger customers use the ATMs more.</v>
      </c>
      <c r="T85" s="133"/>
      <c r="U85" s="133"/>
      <c r="V85" s="133"/>
      <c r="W85" s="133"/>
    </row>
    <row r="86" spans="3:23">
      <c r="S86" s="133"/>
      <c r="T86" s="133"/>
      <c r="U86" s="133"/>
      <c r="V86" s="133"/>
      <c r="W86" s="133"/>
    </row>
    <row r="87" spans="3:23">
      <c r="S87" s="133"/>
      <c r="T87" s="133"/>
      <c r="U87" s="133"/>
      <c r="V87" s="133"/>
      <c r="W87" s="133"/>
    </row>
    <row r="88" spans="3:23">
      <c r="S88" s="133"/>
      <c r="T88" s="133"/>
      <c r="U88" s="133"/>
      <c r="V88" s="133"/>
      <c r="W88" s="133"/>
    </row>
  </sheetData>
  <mergeCells count="9">
    <mergeCell ref="B2:I17"/>
    <mergeCell ref="L13:P13"/>
    <mergeCell ref="S26:W29"/>
    <mergeCell ref="L72:P72"/>
    <mergeCell ref="S85:W88"/>
    <mergeCell ref="L42:P42"/>
    <mergeCell ref="S55:W58"/>
    <mergeCell ref="B31:I41"/>
    <mergeCell ref="B61:I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One-Sample Test of Hypothesis</vt:lpstr>
      <vt:lpstr>1-sample Hypo Test known Sigma</vt:lpstr>
      <vt:lpstr>1-sampleHypo Test unknown Sigma</vt:lpstr>
      <vt:lpstr>Type II Error</vt:lpstr>
      <vt:lpstr>11042020 group exercise</vt:lpstr>
      <vt:lpstr>Two-Sample Test of Hypothesis</vt:lpstr>
      <vt:lpstr>2-sampleHypoTest BothSigmaKnown</vt:lpstr>
      <vt:lpstr>2-sampleHypoTest UnknownSigmas</vt:lpstr>
      <vt:lpstr>2-sampleHypoTest UnequalSigma</vt:lpstr>
      <vt:lpstr>2-sampleHypoTest DependentSampl</vt:lpstr>
      <vt:lpstr>Module 3 HW</vt:lpstr>
      <vt:lpstr>Sheet1</vt:lpstr>
      <vt:lpstr>z-Table</vt:lpstr>
      <vt:lpstr>t-Table</vt:lpstr>
      <vt:lpstr>Addl Resources</vt:lpstr>
      <vt:lpstr>_hypTest_known_sigma</vt:lpstr>
      <vt:lpstr>_hypTest_unknown_sigma</vt:lpstr>
      <vt:lpstr>_t_table</vt:lpstr>
      <vt:lpstr>_verify_type_II_error</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2020-11-11T17:46:02Z</dcterms:modified>
</cp:coreProperties>
</file>