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tables/table2.xml" ContentType="application/vnd.openxmlformats-officedocument.spreadsheetml.tab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 Archive\Spheres\BIZ\_education\Data Science\Formal\CSULB MSIS\IS 601\Homework\"/>
    </mc:Choice>
  </mc:AlternateContent>
  <xr:revisionPtr revIDLastSave="0" documentId="13_ncr:1_{95BE6034-FC7C-46B2-8AF0-A6DAC6728A1A}" xr6:coauthVersionLast="45" xr6:coauthVersionMax="45" xr10:uidLastSave="{00000000-0000-0000-0000-000000000000}"/>
  <bookViews>
    <workbookView xWindow="-120" yWindow="-120" windowWidth="29040" windowHeight="15840" xr2:uid="{9CAC1E16-FA60-4465-B857-0B92E6F54B68}"/>
  </bookViews>
  <sheets>
    <sheet name="Notes" sheetId="15" r:id="rId1"/>
    <sheet name="1-1" sheetId="1" r:id="rId2"/>
    <sheet name="1-9" sheetId="2" r:id="rId3"/>
    <sheet name="1-11" sheetId="3" r:id="rId4"/>
    <sheet name="1-13" sheetId="4" r:id="rId5"/>
    <sheet name="1-17" sheetId="5" r:id="rId6"/>
    <sheet name="2-5" sheetId="6" r:id="rId7"/>
    <sheet name="2-11" sheetId="7" r:id="rId8"/>
    <sheet name="2-13" sheetId="8" r:id="rId9"/>
    <sheet name="2-17" sheetId="9" r:id="rId10"/>
    <sheet name="2-21" sheetId="10" r:id="rId11"/>
    <sheet name="2-29" sheetId="11" r:id="rId12"/>
    <sheet name="2-31" sheetId="12" r:id="rId13"/>
    <sheet name="2-37" sheetId="13" r:id="rId14"/>
    <sheet name="2-45" sheetId="1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5" l="1"/>
  <c r="U3" i="5" s="1"/>
  <c r="T4" i="5"/>
  <c r="U4" i="5" s="1"/>
  <c r="T5" i="5"/>
  <c r="U5" i="5" s="1"/>
  <c r="T6" i="5"/>
  <c r="U6" i="5" s="1"/>
  <c r="T7" i="5"/>
  <c r="U7" i="5" s="1"/>
  <c r="T8" i="5"/>
  <c r="U8" i="5" s="1"/>
  <c r="T9" i="5"/>
  <c r="U9" i="5" s="1"/>
  <c r="T10" i="5"/>
  <c r="U10" i="5" s="1"/>
  <c r="T11" i="5"/>
  <c r="U11" i="5" s="1"/>
  <c r="T12" i="5"/>
  <c r="U12" i="5" s="1"/>
  <c r="T13" i="5"/>
  <c r="U13" i="5" s="1"/>
  <c r="T14" i="5"/>
  <c r="U14" i="5" s="1"/>
  <c r="T15" i="5"/>
  <c r="U15" i="5" s="1"/>
  <c r="T16" i="5"/>
  <c r="U16" i="5" s="1"/>
  <c r="T17" i="5"/>
  <c r="U17" i="5" s="1"/>
  <c r="T18" i="5"/>
  <c r="U18" i="5" s="1"/>
  <c r="T19" i="5"/>
  <c r="U19" i="5" s="1"/>
  <c r="T20" i="5"/>
  <c r="U20" i="5" s="1"/>
  <c r="T21" i="5"/>
  <c r="U21" i="5" s="1"/>
  <c r="T22" i="5"/>
  <c r="U22" i="5" s="1"/>
  <c r="T23" i="5"/>
  <c r="U23" i="5" s="1"/>
  <c r="T24" i="5"/>
  <c r="U24" i="5" s="1"/>
  <c r="T2" i="5"/>
  <c r="U2" i="5" s="1"/>
  <c r="O4" i="13" l="1"/>
  <c r="O2" i="13"/>
  <c r="N2" i="12"/>
  <c r="H18" i="12" s="1"/>
  <c r="M2" i="13"/>
  <c r="N2" i="13"/>
  <c r="H18" i="13"/>
  <c r="D18" i="13"/>
  <c r="D20" i="13"/>
  <c r="D19" i="13"/>
  <c r="D39" i="13"/>
  <c r="D38" i="13"/>
  <c r="D37" i="13"/>
  <c r="D36" i="13"/>
  <c r="D35" i="13"/>
  <c r="D34" i="13"/>
  <c r="D33" i="13"/>
  <c r="D32" i="13"/>
  <c r="D31" i="13"/>
  <c r="D30" i="13"/>
  <c r="D29" i="13"/>
  <c r="D28" i="13"/>
  <c r="D27" i="13"/>
  <c r="D26" i="13"/>
  <c r="D21" i="12"/>
  <c r="H17" i="12" s="1"/>
  <c r="H16" i="12"/>
  <c r="D37" i="12"/>
  <c r="D36" i="12"/>
  <c r="D35" i="12"/>
  <c r="D34" i="12"/>
  <c r="D33" i="12"/>
  <c r="D32" i="12"/>
  <c r="D31" i="12"/>
  <c r="D30" i="12"/>
  <c r="D29" i="12"/>
  <c r="D28" i="12"/>
  <c r="D27" i="12"/>
  <c r="D26" i="12"/>
  <c r="D25" i="12"/>
  <c r="D24" i="12"/>
  <c r="D18" i="12"/>
  <c r="D17" i="12"/>
  <c r="D16" i="12"/>
  <c r="D21" i="13" l="1"/>
  <c r="E23" i="13" s="1"/>
  <c r="Q2" i="13"/>
  <c r="E29" i="13"/>
  <c r="E39" i="13"/>
  <c r="E35" i="13"/>
  <c r="E31" i="13"/>
  <c r="E27" i="13"/>
  <c r="E36" i="13"/>
  <c r="E28" i="13"/>
  <c r="E38" i="13"/>
  <c r="E34" i="13"/>
  <c r="E30" i="13"/>
  <c r="E26" i="13"/>
  <c r="E32" i="13"/>
  <c r="E37" i="13"/>
  <c r="E33" i="13"/>
  <c r="D19" i="12"/>
  <c r="O2" i="12" s="1"/>
  <c r="E24" i="12"/>
  <c r="E28" i="12"/>
  <c r="E32" i="12"/>
  <c r="E36" i="12"/>
  <c r="E26" i="12"/>
  <c r="E30" i="12"/>
  <c r="E34" i="12"/>
  <c r="E27" i="12"/>
  <c r="E31" i="12"/>
  <c r="E35" i="12"/>
  <c r="E25" i="12"/>
  <c r="E29" i="12"/>
  <c r="E33" i="12"/>
  <c r="E37" i="12"/>
  <c r="C36" i="11"/>
  <c r="C27" i="11"/>
  <c r="B18" i="11"/>
  <c r="B15" i="11"/>
  <c r="B14" i="11"/>
  <c r="F14" i="11" s="1"/>
  <c r="B40" i="11" s="1"/>
  <c r="B13" i="11"/>
  <c r="C35" i="11"/>
  <c r="C34" i="11"/>
  <c r="C33" i="11"/>
  <c r="C32" i="11"/>
  <c r="C31" i="11"/>
  <c r="C30" i="11"/>
  <c r="C29" i="11"/>
  <c r="C28" i="11"/>
  <c r="C26" i="11"/>
  <c r="C25" i="11"/>
  <c r="C24" i="11"/>
  <c r="C23" i="11"/>
  <c r="C22" i="11"/>
  <c r="M6" i="10"/>
  <c r="M7" i="10"/>
  <c r="M8" i="10"/>
  <c r="M9" i="10"/>
  <c r="N5" i="10"/>
  <c r="M5" i="10"/>
  <c r="F29" i="10"/>
  <c r="B25" i="10"/>
  <c r="C25" i="10" s="1"/>
  <c r="E30" i="10"/>
  <c r="P4" i="10" s="1"/>
  <c r="E29" i="9"/>
  <c r="J1" i="9" s="1"/>
  <c r="B24" i="9"/>
  <c r="C24" i="9" s="1"/>
  <c r="P5" i="7"/>
  <c r="P6" i="7"/>
  <c r="P7" i="7"/>
  <c r="P8" i="7"/>
  <c r="P4" i="7"/>
  <c r="F39" i="7"/>
  <c r="E45" i="7" s="1"/>
  <c r="F34" i="7"/>
  <c r="F31" i="7"/>
  <c r="E24" i="8"/>
  <c r="E18" i="8"/>
  <c r="E19" i="8" s="1"/>
  <c r="E20" i="8"/>
  <c r="L3" i="13" l="1"/>
  <c r="N3" i="12"/>
  <c r="P2" i="12"/>
  <c r="Q2" i="12"/>
  <c r="O3" i="12"/>
  <c r="B16" i="11"/>
  <c r="G14" i="11"/>
  <c r="F15" i="11" s="1"/>
  <c r="I14" i="11"/>
  <c r="C38" i="11"/>
  <c r="B17" i="11"/>
  <c r="F27" i="10"/>
  <c r="F26" i="10"/>
  <c r="F30" i="10"/>
  <c r="F28" i="10"/>
  <c r="F25" i="10"/>
  <c r="D25" i="10"/>
  <c r="A26" i="10"/>
  <c r="B26" i="10" s="1"/>
  <c r="F28" i="9"/>
  <c r="F26" i="9"/>
  <c r="F24" i="9"/>
  <c r="F27" i="9"/>
  <c r="F25" i="9"/>
  <c r="F29" i="9"/>
  <c r="J2" i="9"/>
  <c r="D24" i="9"/>
  <c r="J19" i="9" s="1"/>
  <c r="A25" i="9"/>
  <c r="F24" i="8"/>
  <c r="H17" i="8" s="1"/>
  <c r="M3" i="13" l="1"/>
  <c r="O3" i="13" s="1"/>
  <c r="N3" i="13"/>
  <c r="N4" i="12"/>
  <c r="Q3" i="12"/>
  <c r="P3" i="12"/>
  <c r="H14" i="11"/>
  <c r="G15" i="11"/>
  <c r="F16" i="11" s="1"/>
  <c r="N6" i="10"/>
  <c r="D26" i="10"/>
  <c r="B25" i="9"/>
  <c r="A26" i="9" s="1"/>
  <c r="H31" i="8"/>
  <c r="E25" i="8"/>
  <c r="I17" i="8"/>
  <c r="E32" i="7"/>
  <c r="F18" i="7"/>
  <c r="F19" i="7"/>
  <c r="F20" i="7"/>
  <c r="F21" i="7"/>
  <c r="F22" i="7"/>
  <c r="F23" i="7"/>
  <c r="F24" i="7"/>
  <c r="F25" i="7"/>
  <c r="F26" i="7"/>
  <c r="F27" i="7"/>
  <c r="F28" i="7"/>
  <c r="F29" i="7"/>
  <c r="F30" i="7"/>
  <c r="F17" i="7"/>
  <c r="B36" i="7"/>
  <c r="B34" i="7"/>
  <c r="B35" i="7" s="1"/>
  <c r="E36" i="7" s="1"/>
  <c r="B33" i="7"/>
  <c r="J37" i="6"/>
  <c r="J38" i="6"/>
  <c r="J39" i="6"/>
  <c r="J40" i="6"/>
  <c r="J36" i="6"/>
  <c r="K24" i="6"/>
  <c r="K25" i="6"/>
  <c r="K26" i="6"/>
  <c r="K27" i="6"/>
  <c r="K28" i="6"/>
  <c r="K23" i="6"/>
  <c r="J28" i="6"/>
  <c r="Q3" i="13" l="1"/>
  <c r="L4" i="13"/>
  <c r="O4" i="12"/>
  <c r="P4" i="12" s="1"/>
  <c r="I15" i="11"/>
  <c r="H15" i="11"/>
  <c r="G16" i="11"/>
  <c r="F17" i="11" s="1"/>
  <c r="H16" i="11"/>
  <c r="C26" i="10"/>
  <c r="A27" i="10"/>
  <c r="B27" i="10" s="1"/>
  <c r="D25" i="9"/>
  <c r="B26" i="9"/>
  <c r="A27" i="9" s="1"/>
  <c r="C25" i="9"/>
  <c r="F25" i="8"/>
  <c r="H32" i="8" s="1"/>
  <c r="G39" i="7"/>
  <c r="M4" i="13" l="1"/>
  <c r="N4" i="13"/>
  <c r="N5" i="12"/>
  <c r="Q4" i="12"/>
  <c r="I16" i="11"/>
  <c r="G17" i="11"/>
  <c r="F18" i="11" s="1"/>
  <c r="N7" i="10"/>
  <c r="A28" i="10"/>
  <c r="B28" i="10" s="1"/>
  <c r="C27" i="10"/>
  <c r="D26" i="9"/>
  <c r="C26" i="9"/>
  <c r="B27" i="9"/>
  <c r="A28" i="9" s="1"/>
  <c r="I18" i="8"/>
  <c r="E26" i="8"/>
  <c r="H18" i="8"/>
  <c r="F40" i="7"/>
  <c r="G40" i="7" s="1"/>
  <c r="N4" i="7"/>
  <c r="Q4" i="13" l="1"/>
  <c r="L5" i="13"/>
  <c r="O5" i="12"/>
  <c r="P5" i="12" s="1"/>
  <c r="H17" i="11"/>
  <c r="I17" i="11"/>
  <c r="G18" i="11"/>
  <c r="H18" i="11"/>
  <c r="I18" i="11"/>
  <c r="O8" i="10"/>
  <c r="P8" i="10" s="1"/>
  <c r="N8" i="10"/>
  <c r="D27" i="10"/>
  <c r="C28" i="10"/>
  <c r="A29" i="10"/>
  <c r="B29" i="10" s="1"/>
  <c r="D28" i="10"/>
  <c r="D27" i="9"/>
  <c r="C27" i="9"/>
  <c r="B28" i="9"/>
  <c r="C28" i="9" s="1"/>
  <c r="F41" i="7"/>
  <c r="G41" i="7" s="1"/>
  <c r="F42" i="7" s="1"/>
  <c r="G42" i="7" s="1"/>
  <c r="F43" i="7" s="1"/>
  <c r="G43" i="7" s="1"/>
  <c r="F26" i="8"/>
  <c r="O4" i="7"/>
  <c r="M5" i="13" l="1"/>
  <c r="N5" i="13" s="1"/>
  <c r="N6" i="12"/>
  <c r="Q5" i="12"/>
  <c r="I19" i="11"/>
  <c r="N9" i="10"/>
  <c r="O9" i="10"/>
  <c r="P9" i="10" s="1"/>
  <c r="O7" i="10"/>
  <c r="P7" i="10" s="1"/>
  <c r="O5" i="10"/>
  <c r="P5" i="10" s="1"/>
  <c r="O6" i="10"/>
  <c r="P6" i="10" s="1"/>
  <c r="C29" i="10"/>
  <c r="D29" i="10"/>
  <c r="D28" i="9"/>
  <c r="Q4" i="7"/>
  <c r="E27" i="8"/>
  <c r="I19" i="8"/>
  <c r="H19" i="8"/>
  <c r="H33" i="8"/>
  <c r="N5" i="7"/>
  <c r="O5" i="13" l="1"/>
  <c r="L6" i="13"/>
  <c r="O6" i="12"/>
  <c r="P6" i="12" s="1"/>
  <c r="F27" i="8"/>
  <c r="O5" i="7"/>
  <c r="Q5" i="13" l="1"/>
  <c r="M6" i="13"/>
  <c r="O6" i="13" s="1"/>
  <c r="N7" i="12"/>
  <c r="Q6" i="12"/>
  <c r="Q5" i="7"/>
  <c r="H20" i="8"/>
  <c r="I20" i="8"/>
  <c r="E28" i="8"/>
  <c r="H34" i="8"/>
  <c r="N6" i="7"/>
  <c r="Q6" i="13" l="1"/>
  <c r="N6" i="13"/>
  <c r="L7" i="13"/>
  <c r="O7" i="12"/>
  <c r="Q7" i="12" s="1"/>
  <c r="F28" i="8"/>
  <c r="H21" i="8" s="1"/>
  <c r="O6" i="7"/>
  <c r="Q8" i="12" l="1"/>
  <c r="R7" i="12"/>
  <c r="P7" i="12"/>
  <c r="M7" i="13"/>
  <c r="O7" i="13" s="1"/>
  <c r="Q7" i="13" s="1"/>
  <c r="Q6" i="7"/>
  <c r="E29" i="8"/>
  <c r="I21" i="8"/>
  <c r="H35" i="8"/>
  <c r="N7" i="7"/>
  <c r="R8" i="12" l="1"/>
  <c r="R2" i="12"/>
  <c r="R3" i="12"/>
  <c r="R4" i="12"/>
  <c r="R5" i="12"/>
  <c r="R6" i="12"/>
  <c r="N7" i="13"/>
  <c r="F29" i="8"/>
  <c r="H22" i="8" s="1"/>
  <c r="O7" i="7"/>
  <c r="Q7" i="7" s="1"/>
  <c r="H36" i="8" l="1"/>
  <c r="Q9" i="7"/>
  <c r="R4" i="7" s="1"/>
  <c r="N8" i="7"/>
  <c r="I22" i="8"/>
  <c r="I23" i="8" l="1"/>
  <c r="I36" i="8" s="1"/>
  <c r="O8" i="7"/>
  <c r="Q8" i="7" s="1"/>
  <c r="S4" i="7"/>
  <c r="R5" i="7"/>
  <c r="S5" i="7"/>
  <c r="R6" i="7"/>
  <c r="S6" i="7"/>
  <c r="R7" i="7"/>
  <c r="S7" i="7"/>
  <c r="I37" i="8" l="1"/>
  <c r="I31" i="8"/>
  <c r="I32" i="8"/>
  <c r="I33" i="8"/>
  <c r="I34" i="8"/>
  <c r="I35" i="8"/>
  <c r="S8" i="7"/>
  <c r="R8" i="7"/>
  <c r="R9" i="7"/>
  <c r="R2" i="13" l="1"/>
  <c r="R3" i="13"/>
  <c r="R4" i="13"/>
  <c r="R5" i="13"/>
  <c r="R6" i="13"/>
  <c r="R7" i="13"/>
  <c r="O9" i="13" l="1"/>
  <c r="P6" i="13" s="1"/>
  <c r="P7" i="13" l="1"/>
  <c r="P4" i="13"/>
  <c r="P9" i="13"/>
  <c r="P5" i="13"/>
  <c r="P2" i="13"/>
  <c r="P3" i="13"/>
</calcChain>
</file>

<file path=xl/sharedStrings.xml><?xml version="1.0" encoding="utf-8"?>
<sst xmlns="http://schemas.openxmlformats.org/spreadsheetml/2006/main" count="376" uniqueCount="160">
  <si>
    <t>c</t>
  </si>
  <si>
    <t>Nominal</t>
  </si>
  <si>
    <t>Ordinal</t>
  </si>
  <si>
    <t>based on a relative ranking of items based on a defined attribute or qualitative variable. Variables based on this level of measurement are only ranked or counted.</t>
  </si>
  <si>
    <t>Interval</t>
  </si>
  <si>
    <t>the interval or distance between values is meaningful. Based on a scale with a known unit of measurement</t>
  </si>
  <si>
    <t>Ratio</t>
  </si>
  <si>
    <t>based on a scale with a known unit of measurement and a meaningful interpretation of zero on the scale</t>
  </si>
  <si>
    <t>represented as labels or names. They have no order. They can only be classified and counted.</t>
  </si>
  <si>
    <t>milepost numbers provide more meaningful information because one can determine the distance between exits.</t>
  </si>
  <si>
    <t>sample</t>
  </si>
  <si>
    <t>population</t>
  </si>
  <si>
    <t>If the data is being used in analysis intended to draw conclusions about Fitbit Flex 2 sales at all Best Buy locations.</t>
  </si>
  <si>
    <t>If the data is being used in analysis intended to draw conclusions about Fitbit Flex 2 salesjust at the Best Buy store in Collegeville, Pennsylvania.</t>
  </si>
  <si>
    <t>Qualitative</t>
  </si>
  <si>
    <t>Quantitative</t>
  </si>
  <si>
    <t>Discrete Variable</t>
  </si>
  <si>
    <t>Continuous Variable</t>
  </si>
  <si>
    <t>Discrete</t>
  </si>
  <si>
    <t>Continuous</t>
  </si>
  <si>
    <t>a. Salary</t>
  </si>
  <si>
    <t>b. Gender</t>
  </si>
  <si>
    <t>c. Sales volume of digital music players</t>
  </si>
  <si>
    <t>d. Soft drink preference</t>
  </si>
  <si>
    <t>e. Temperature</t>
  </si>
  <si>
    <t>f. SAT scores</t>
  </si>
  <si>
    <t>g. Student rank in class</t>
  </si>
  <si>
    <t>h. Rating of a finance professor</t>
  </si>
  <si>
    <t>i. Number of home video screens</t>
  </si>
  <si>
    <t>A qualitative variable is nonnumeric</t>
  </si>
  <si>
    <t>Usually we are interested in the number of percent of the observations in each category</t>
  </si>
  <si>
    <t>Qualitative data usually are summarized in graphs and bar charts</t>
  </si>
  <si>
    <t>There are two types of quantitative variables and they are usually numerically.</t>
  </si>
  <si>
    <t>Discrete variables can assume only certain values and there are usually gaps between values.</t>
  </si>
  <si>
    <t>A continuous variable can assume any value within a specified range.</t>
  </si>
  <si>
    <t>qualitative</t>
  </si>
  <si>
    <t xml:space="preserve">Ordinal &amp; </t>
  </si>
  <si>
    <t>Why is temperature interval and not ratio?</t>
  </si>
  <si>
    <t>0 degrees does not mean the absence of heat or cold.</t>
  </si>
  <si>
    <t>Why is Salary ratio and not interval?</t>
  </si>
  <si>
    <t>$0 does mean the absence of salary</t>
  </si>
  <si>
    <t>cannot say that 20 degrees F is twice as warm as 10 degrees.</t>
  </si>
  <si>
    <t>can say that $200k is twice as much salary as $100k</t>
  </si>
  <si>
    <t>Manufacturer</t>
  </si>
  <si>
    <t>Volvo</t>
  </si>
  <si>
    <t>Percent Change</t>
  </si>
  <si>
    <t>Rank</t>
  </si>
  <si>
    <t>Ford</t>
  </si>
  <si>
    <t>Hyundai</t>
  </si>
  <si>
    <t>Toyota</t>
  </si>
  <si>
    <t>Honda</t>
  </si>
  <si>
    <t>Nissan</t>
  </si>
  <si>
    <t>Kia</t>
  </si>
  <si>
    <t>Subaru</t>
  </si>
  <si>
    <t>a frequency table</t>
  </si>
  <si>
    <t>Color</t>
  </si>
  <si>
    <t>Responses</t>
  </si>
  <si>
    <t>Bright white</t>
  </si>
  <si>
    <t>Metallic black</t>
  </si>
  <si>
    <t>Magnetic lime</t>
  </si>
  <si>
    <t>Tangerine orange</t>
  </si>
  <si>
    <t>Fusion red</t>
  </si>
  <si>
    <t>% of total</t>
  </si>
  <si>
    <t>Min</t>
  </si>
  <si>
    <t>Max</t>
  </si>
  <si>
    <t>Units produced</t>
  </si>
  <si>
    <t>Day</t>
  </si>
  <si>
    <t>Range</t>
  </si>
  <si>
    <t>Step 1:</t>
  </si>
  <si>
    <t>Observations</t>
  </si>
  <si>
    <t>k</t>
  </si>
  <si>
    <t>2^k</t>
  </si>
  <si>
    <t>a.</t>
  </si>
  <si>
    <t>Step 2:</t>
  </si>
  <si>
    <t>Decide on the number of classes (k)</t>
  </si>
  <si>
    <t>Determine the class interval (i)</t>
  </si>
  <si>
    <t>i</t>
  </si>
  <si>
    <t>b.</t>
  </si>
  <si>
    <t>Step 3:</t>
  </si>
  <si>
    <t>Set the individual class limits</t>
  </si>
  <si>
    <t>Lower Limit</t>
  </si>
  <si>
    <t>Upper Limit</t>
  </si>
  <si>
    <t>Class</t>
  </si>
  <si>
    <t>c.</t>
  </si>
  <si>
    <t>Step 4:</t>
  </si>
  <si>
    <t>Tally the daily units produced into the classes and determine the number of observations in each class.</t>
  </si>
  <si>
    <t>Count</t>
  </si>
  <si>
    <t>Class Label</t>
  </si>
  <si>
    <t>Class #</t>
  </si>
  <si>
    <t>d.</t>
  </si>
  <si>
    <t>Relative Frequency</t>
  </si>
  <si>
    <t>Found By</t>
  </si>
  <si>
    <t>e.</t>
  </si>
  <si>
    <t>The shape of the distribution is right-tailed since most observations of daily unit production land on the low end of the range.</t>
  </si>
  <si>
    <t>Customer #</t>
  </si>
  <si>
    <t>Visits</t>
  </si>
  <si>
    <t>Class Interval (i)</t>
  </si>
  <si>
    <t>Frequency</t>
  </si>
  <si>
    <t>Lower</t>
  </si>
  <si>
    <t>Upper</t>
  </si>
  <si>
    <t>Total</t>
  </si>
  <si>
    <t>The number of visits tend to cluster from 3 up to 9.</t>
  </si>
  <si>
    <t>Range / k</t>
  </si>
  <si>
    <t>Frequent Flier Miles (000)</t>
  </si>
  <si>
    <t>Number of Employees</t>
  </si>
  <si>
    <t>units</t>
  </si>
  <si>
    <t>Midpoint</t>
  </si>
  <si>
    <t>f.</t>
  </si>
  <si>
    <t>The majority of employees have from 3,000 up to 12,000 frequent flier miles. Almost half have from 6,000 up to 9,000 miles. In general the frequent flier mile balances for these employees appears to be more or less normally distributed.</t>
  </si>
  <si>
    <t>Miles</t>
  </si>
  <si>
    <t>CF</t>
  </si>
  <si>
    <t>CRF</t>
  </si>
  <si>
    <t>about 75% of the employees accumulated 8,500 miles or less.</t>
  </si>
  <si>
    <t>Observation</t>
  </si>
  <si>
    <t>Commute Time (min)</t>
  </si>
  <si>
    <t>Class Count (k)</t>
  </si>
  <si>
    <t>Interval (i)</t>
  </si>
  <si>
    <t>Range / k - 1</t>
  </si>
  <si>
    <t>Class#</t>
  </si>
  <si>
    <t>Commute Time</t>
  </si>
  <si>
    <t>The histogram is somewhat normally distributed with most employees reporting commute times from 22 up to 36 minutes.</t>
  </si>
  <si>
    <t>observation</t>
  </si>
  <si>
    <t>min</t>
  </si>
  <si>
    <t>max</t>
  </si>
  <si>
    <t>range</t>
  </si>
  <si>
    <t>class count (k)</t>
  </si>
  <si>
    <t>interval (i)</t>
  </si>
  <si>
    <t>observations (n)</t>
  </si>
  <si>
    <t>song_plays</t>
  </si>
  <si>
    <t>2^k &gt;= n</t>
  </si>
  <si>
    <t>Transaction</t>
  </si>
  <si>
    <t>Purchased ($)</t>
  </si>
  <si>
    <t>RCF</t>
  </si>
  <si>
    <t>The frequency distribution is more or less symetrical with a high degree of consolidation in data points from 4 up to 8 plays.</t>
  </si>
  <si>
    <t>The distribution of initial purchases appears to be right-tailed with over half of the puchases totalling less than $175.</t>
  </si>
  <si>
    <t>Pie Chart</t>
  </si>
  <si>
    <t>Per the pie chart, 70% and 20% of contact for job placement is made through Networking and Connections and Job Posting Websites. While that does indicate that 90% of contact about job placements comes through these channels, we have no evidence to conclude that these channels ultimately account for 90% of actual placements.</t>
  </si>
  <si>
    <t>GM (Est.)</t>
  </si>
  <si>
    <t xml:space="preserve">Fiat Chrysler </t>
  </si>
  <si>
    <t>VW</t>
  </si>
  <si>
    <t>BMW</t>
  </si>
  <si>
    <t>Mazda</t>
  </si>
  <si>
    <t>Audi</t>
  </si>
  <si>
    <t>Mitsubishi</t>
  </si>
  <si>
    <t>Tesla (Est.)</t>
  </si>
  <si>
    <t>Land Rover</t>
  </si>
  <si>
    <t>Porsche</t>
  </si>
  <si>
    <t>MINI</t>
  </si>
  <si>
    <t>Jaguar</t>
  </si>
  <si>
    <t>Others</t>
  </si>
  <si>
    <t>smart</t>
  </si>
  <si>
    <t>Change</t>
  </si>
  <si>
    <t>2018 Sales Increased over 2017 Sales</t>
  </si>
  <si>
    <t>2018 Sales Decreased from 2017 Sales</t>
  </si>
  <si>
    <t>2018 Sales Ranked by Percent Change over 2017 Sales</t>
  </si>
  <si>
    <t>Mercedes (inc Sprinter)</t>
  </si>
  <si>
    <t>Top 5 2018 Sales Ranked by Percent Change over 2017 Sales</t>
  </si>
  <si>
    <t>Bottom 5 2018 Sales Ranked by Percent Change over 2017 Sales</t>
  </si>
  <si>
    <t>Summary Report</t>
  </si>
  <si>
    <t xml:space="preserve">The relative ranking of the top ten auto manufacturers stayed largely unchanged from 2017 to 2018. However there are a couple notable changes.
1) Fiat Chrysler realized a significant percentage increase in sales in 2018 relative to the prior year.
2) Nissan saw a significant percentage decrease in sales over the same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</si>
</sst>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00"/>
    <numFmt numFmtId="167" formatCode="0.0"/>
    <numFmt numFmtId="168" formatCode="0.0000"/>
  </numFmts>
  <fonts count="6" x14ac:knownFonts="1">
    <font>
      <sz val="9"/>
      <color theme="1"/>
      <name val="Arial"/>
      <family val="2"/>
    </font>
    <font>
      <b/>
      <sz val="9"/>
      <color theme="1"/>
      <name val="Arial"/>
      <family val="2"/>
    </font>
    <font>
      <sz val="9"/>
      <color theme="1"/>
      <name val="Arial"/>
      <family val="2"/>
    </font>
    <font>
      <i/>
      <sz val="9"/>
      <color theme="1"/>
      <name val="Arial"/>
      <family val="2"/>
    </font>
    <font>
      <sz val="9"/>
      <name val="Arial"/>
      <family val="2"/>
    </font>
    <font>
      <b/>
      <sz val="9"/>
      <name val="Arial"/>
      <family val="2"/>
    </font>
  </fonts>
  <fills count="6">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bgColor indexed="64"/>
      </patternFill>
    </fill>
    <fill>
      <patternFill patternType="solid">
        <fgColor them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88">
    <xf numFmtId="0" fontId="0" fillId="0" borderId="0" xfId="0"/>
    <xf numFmtId="0" fontId="1" fillId="0" borderId="0" xfId="0" applyFont="1"/>
    <xf numFmtId="0" fontId="0" fillId="2" borderId="2" xfId="0" applyFont="1" applyFill="1" applyBorder="1"/>
    <xf numFmtId="0" fontId="1" fillId="2" borderId="3" xfId="0" applyFont="1" applyFill="1" applyBorder="1"/>
    <xf numFmtId="0" fontId="0" fillId="2" borderId="3" xfId="0" applyFill="1" applyBorder="1"/>
    <xf numFmtId="0" fontId="0" fillId="2" borderId="4" xfId="0" applyFill="1" applyBorder="1"/>
    <xf numFmtId="0" fontId="1" fillId="2" borderId="2" xfId="0" applyFont="1" applyFill="1" applyBorder="1"/>
    <xf numFmtId="0" fontId="0" fillId="2" borderId="2"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0" fillId="2" borderId="8" xfId="0" applyFill="1" applyBorder="1"/>
    <xf numFmtId="0" fontId="0" fillId="2" borderId="7" xfId="0" applyFill="1" applyBorder="1"/>
    <xf numFmtId="0" fontId="0" fillId="2" borderId="9" xfId="0" applyFill="1" applyBorder="1"/>
    <xf numFmtId="0" fontId="0" fillId="2" borderId="10" xfId="0" applyFill="1" applyBorder="1"/>
    <xf numFmtId="0" fontId="1" fillId="2" borderId="11" xfId="0" applyFont="1" applyFill="1" applyBorder="1"/>
    <xf numFmtId="0" fontId="0" fillId="2" borderId="12" xfId="0" applyFill="1" applyBorder="1"/>
    <xf numFmtId="0" fontId="0" fillId="2" borderId="6" xfId="0" applyFill="1" applyBorder="1"/>
    <xf numFmtId="0" fontId="1" fillId="2" borderId="9" xfId="0" applyFont="1" applyFill="1" applyBorder="1"/>
    <xf numFmtId="0" fontId="0" fillId="2" borderId="1" xfId="0" applyFill="1" applyBorder="1"/>
    <xf numFmtId="164" fontId="0" fillId="0" borderId="0" xfId="1" applyNumberFormat="1" applyFont="1"/>
    <xf numFmtId="164" fontId="0" fillId="0" borderId="0" xfId="0" applyNumberFormat="1"/>
    <xf numFmtId="165" fontId="0" fillId="0" borderId="0" xfId="2" applyNumberFormat="1" applyFont="1"/>
    <xf numFmtId="10" fontId="0" fillId="0" borderId="0" xfId="2" applyNumberFormat="1" applyFont="1"/>
    <xf numFmtId="0" fontId="1" fillId="0" borderId="0" xfId="0" applyFont="1" applyAlignment="1">
      <alignment wrapText="1"/>
    </xf>
    <xf numFmtId="9" fontId="0" fillId="0" borderId="0" xfId="2" applyFont="1"/>
    <xf numFmtId="0" fontId="1" fillId="0" borderId="0" xfId="0" applyFont="1" applyAlignment="1">
      <alignment horizontal="right"/>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1" fillId="0" borderId="0" xfId="0" applyFont="1" applyAlignment="1">
      <alignment horizontal="center"/>
    </xf>
    <xf numFmtId="0" fontId="0" fillId="0" borderId="0" xfId="0" applyAlignment="1">
      <alignment horizontal="right"/>
    </xf>
    <xf numFmtId="0" fontId="1" fillId="3" borderId="0" xfId="0" applyFont="1" applyFill="1" applyAlignment="1">
      <alignment horizontal="right"/>
    </xf>
    <xf numFmtId="0" fontId="1" fillId="0" borderId="0" xfId="0" applyFont="1" applyAlignment="1">
      <alignment horizontal="center" wrapText="1"/>
    </xf>
    <xf numFmtId="166" fontId="0" fillId="0" borderId="0" xfId="0" applyNumberFormat="1" applyAlignment="1">
      <alignment horizontal="center"/>
    </xf>
    <xf numFmtId="0" fontId="0" fillId="0" borderId="0" xfId="0" applyAlignment="1">
      <alignment horizontal="left"/>
    </xf>
    <xf numFmtId="0" fontId="0" fillId="0" borderId="13" xfId="0" applyBorder="1" applyAlignment="1">
      <alignment horizontal="center"/>
    </xf>
    <xf numFmtId="0" fontId="1" fillId="0" borderId="0" xfId="0" applyFont="1" applyAlignment="1">
      <alignment horizontal="center" wrapText="1"/>
    </xf>
    <xf numFmtId="2" fontId="0" fillId="0" borderId="0" xfId="0" applyNumberFormat="1" applyAlignment="1">
      <alignment horizontal="center"/>
    </xf>
    <xf numFmtId="167" fontId="0" fillId="0" borderId="0" xfId="0" applyNumberFormat="1" applyAlignment="1">
      <alignment horizontal="center"/>
    </xf>
    <xf numFmtId="2" fontId="0" fillId="0" borderId="13" xfId="0" applyNumberFormat="1" applyBorder="1" applyAlignment="1">
      <alignment horizontal="center"/>
    </xf>
    <xf numFmtId="2" fontId="1" fillId="0" borderId="0" xfId="0" applyNumberFormat="1" applyFont="1" applyAlignment="1">
      <alignment horizontal="center"/>
    </xf>
    <xf numFmtId="0" fontId="0" fillId="0" borderId="0" xfId="0" applyBorder="1" applyAlignment="1">
      <alignment horizontal="center"/>
    </xf>
    <xf numFmtId="0" fontId="1" fillId="0" borderId="0" xfId="0" applyFont="1" applyBorder="1" applyAlignment="1">
      <alignment horizontal="center" wrapText="1"/>
    </xf>
    <xf numFmtId="0" fontId="1" fillId="0" borderId="0" xfId="0" applyFont="1" applyBorder="1" applyAlignment="1">
      <alignment horizontal="center"/>
    </xf>
    <xf numFmtId="0" fontId="0" fillId="0" borderId="0" xfId="0" applyBorder="1"/>
    <xf numFmtId="0" fontId="1" fillId="0" borderId="13" xfId="0" applyFont="1" applyBorder="1" applyAlignment="1">
      <alignment horizontal="center"/>
    </xf>
    <xf numFmtId="9" fontId="0" fillId="0" borderId="0" xfId="2" applyFont="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Font="1" applyBorder="1" applyAlignment="1">
      <alignment horizontal="center" wrapText="1"/>
    </xf>
    <xf numFmtId="0" fontId="4" fillId="3" borderId="0" xfId="0" applyFont="1" applyFill="1" applyAlignment="1">
      <alignment horizontal="center"/>
    </xf>
    <xf numFmtId="0" fontId="5" fillId="3" borderId="0" xfId="0" applyFont="1" applyFill="1" applyAlignment="1">
      <alignment horizontal="right"/>
    </xf>
    <xf numFmtId="0" fontId="0" fillId="3" borderId="0" xfId="0" applyFill="1" applyAlignment="1">
      <alignment horizontal="left"/>
    </xf>
    <xf numFmtId="0" fontId="1" fillId="0" borderId="0" xfId="0" applyFont="1" applyAlignment="1">
      <alignment horizontal="center" wrapText="1"/>
    </xf>
    <xf numFmtId="0" fontId="1" fillId="3" borderId="0" xfId="0" applyFont="1" applyFill="1"/>
    <xf numFmtId="168" fontId="0" fillId="0" borderId="0" xfId="0" applyNumberFormat="1" applyAlignment="1">
      <alignment horizontal="center"/>
    </xf>
    <xf numFmtId="166" fontId="1" fillId="0" borderId="0" xfId="0" applyNumberFormat="1" applyFont="1" applyAlignment="1">
      <alignment horizontal="center"/>
    </xf>
    <xf numFmtId="164" fontId="0" fillId="0" borderId="0" xfId="1" applyNumberFormat="1" applyFont="1" applyAlignment="1">
      <alignment horizontal="center"/>
    </xf>
    <xf numFmtId="164" fontId="0" fillId="0" borderId="0" xfId="0" applyNumberFormat="1" applyAlignment="1">
      <alignment horizontal="center"/>
    </xf>
    <xf numFmtId="165" fontId="0" fillId="0" borderId="0" xfId="2" applyNumberFormat="1" applyFont="1" applyAlignment="1">
      <alignment horizontal="center"/>
    </xf>
    <xf numFmtId="0" fontId="0" fillId="0" borderId="0" xfId="0" applyAlignment="1">
      <alignment horizontal="center" vertical="top"/>
    </xf>
    <xf numFmtId="164" fontId="0" fillId="0" borderId="0" xfId="1" applyNumberFormat="1" applyFont="1" applyAlignment="1">
      <alignment horizontal="center" vertical="top"/>
    </xf>
    <xf numFmtId="164" fontId="0" fillId="0" borderId="0" xfId="0" applyNumberFormat="1" applyAlignment="1">
      <alignment horizontal="center" vertical="top"/>
    </xf>
    <xf numFmtId="165" fontId="0" fillId="0" borderId="0" xfId="2" applyNumberFormat="1" applyFont="1" applyAlignment="1">
      <alignment horizontal="center" vertical="top"/>
    </xf>
    <xf numFmtId="0" fontId="0" fillId="0" borderId="0" xfId="0" applyAlignment="1">
      <alignment vertical="top"/>
    </xf>
    <xf numFmtId="0" fontId="0" fillId="0" borderId="0" xfId="0" applyAlignment="1">
      <alignment horizontal="center" vertical="top" wrapText="1"/>
    </xf>
    <xf numFmtId="0" fontId="1" fillId="0" borderId="0" xfId="0" applyFont="1" applyAlignment="1">
      <alignment vertical="top"/>
    </xf>
    <xf numFmtId="164" fontId="1" fillId="5" borderId="0" xfId="0" applyNumberFormat="1" applyFont="1" applyFill="1"/>
    <xf numFmtId="0" fontId="0" fillId="5" borderId="0" xfId="0" applyFill="1"/>
    <xf numFmtId="164" fontId="1" fillId="5" borderId="13" xfId="0" applyNumberFormat="1" applyFont="1" applyFill="1" applyBorder="1" applyAlignment="1">
      <alignment horizontal="center" wrapText="1"/>
    </xf>
    <xf numFmtId="0" fontId="1" fillId="5" borderId="13" xfId="0" applyFont="1" applyFill="1" applyBorder="1" applyAlignment="1">
      <alignment horizontal="center" wrapText="1"/>
    </xf>
    <xf numFmtId="0" fontId="0" fillId="5" borderId="0" xfId="0" applyFill="1" applyAlignment="1">
      <alignment horizontal="center" vertical="top"/>
    </xf>
    <xf numFmtId="164" fontId="0" fillId="5" borderId="0" xfId="1" applyNumberFormat="1" applyFont="1" applyFill="1" applyAlignment="1">
      <alignment horizontal="center" vertical="top"/>
    </xf>
    <xf numFmtId="164" fontId="0" fillId="5" borderId="0" xfId="0" applyNumberFormat="1" applyFill="1" applyAlignment="1">
      <alignment horizontal="center" vertical="top"/>
    </xf>
    <xf numFmtId="165" fontId="0" fillId="5" borderId="0" xfId="2" applyNumberFormat="1"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wrapText="1"/>
    </xf>
    <xf numFmtId="164" fontId="0" fillId="5" borderId="0" xfId="0" applyNumberFormat="1" applyFill="1" applyAlignment="1">
      <alignment vertical="top"/>
    </xf>
    <xf numFmtId="0" fontId="1" fillId="5" borderId="0" xfId="0" applyFont="1" applyFill="1"/>
    <xf numFmtId="0" fontId="1" fillId="5" borderId="0" xfId="0" applyFont="1" applyFill="1" applyAlignment="1">
      <alignment horizontal="center"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1" fillId="0" borderId="13" xfId="0" applyFont="1" applyBorder="1" applyAlignment="1">
      <alignment horizontal="center"/>
    </xf>
  </cellXfs>
  <cellStyles count="3">
    <cellStyle name="Comma" xfId="1" builtinId="3"/>
    <cellStyle name="Normal" xfId="0" builtinId="0"/>
    <cellStyle name="Percent" xfId="2" builtinId="5"/>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Ten Manufacturer</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'1-17'!$R$1</c:f>
              <c:strCache>
                <c:ptCount val="1"/>
                <c:pt idx="0">
                  <c:v>2017</c:v>
                </c:pt>
              </c:strCache>
            </c:strRef>
          </c:tx>
          <c:spPr>
            <a:solidFill>
              <a:schemeClr val="accent1"/>
            </a:solidFill>
            <a:ln>
              <a:noFill/>
            </a:ln>
            <a:effectLst/>
          </c:spPr>
          <c:invertIfNegative val="0"/>
          <c:cat>
            <c:strRef>
              <c:f>'1-17'!$Q$2:$Q$11</c:f>
              <c:strCache>
                <c:ptCount val="10"/>
                <c:pt idx="0">
                  <c:v>GM (Est.)</c:v>
                </c:pt>
                <c:pt idx="1">
                  <c:v>Ford</c:v>
                </c:pt>
                <c:pt idx="2">
                  <c:v>Toyota</c:v>
                </c:pt>
                <c:pt idx="3">
                  <c:v>Fiat Chrysler </c:v>
                </c:pt>
                <c:pt idx="4">
                  <c:v>Honda</c:v>
                </c:pt>
                <c:pt idx="5">
                  <c:v>Nissan</c:v>
                </c:pt>
                <c:pt idx="6">
                  <c:v>Subaru</c:v>
                </c:pt>
                <c:pt idx="7">
                  <c:v>Hyundai</c:v>
                </c:pt>
                <c:pt idx="8">
                  <c:v>Kia</c:v>
                </c:pt>
                <c:pt idx="9">
                  <c:v>VW</c:v>
                </c:pt>
              </c:strCache>
            </c:strRef>
          </c:cat>
          <c:val>
            <c:numRef>
              <c:f>'1-17'!$R$2:$R$11</c:f>
              <c:numCache>
                <c:formatCode>_(* #,##0_);_(* \(#,##0\);_(* "-"??_);_(@_)</c:formatCode>
                <c:ptCount val="10"/>
                <c:pt idx="0">
                  <c:v>2691493</c:v>
                </c:pt>
                <c:pt idx="1">
                  <c:v>2334290</c:v>
                </c:pt>
                <c:pt idx="2">
                  <c:v>2211533</c:v>
                </c:pt>
                <c:pt idx="3">
                  <c:v>1887430</c:v>
                </c:pt>
                <c:pt idx="4">
                  <c:v>1492112</c:v>
                </c:pt>
                <c:pt idx="5">
                  <c:v>1455238</c:v>
                </c:pt>
                <c:pt idx="6">
                  <c:v>584614</c:v>
                </c:pt>
                <c:pt idx="7">
                  <c:v>621961</c:v>
                </c:pt>
                <c:pt idx="8">
                  <c:v>546629</c:v>
                </c:pt>
                <c:pt idx="9">
                  <c:v>309395</c:v>
                </c:pt>
              </c:numCache>
            </c:numRef>
          </c:val>
          <c:extLst>
            <c:ext xmlns:c16="http://schemas.microsoft.com/office/drawing/2014/chart" uri="{C3380CC4-5D6E-409C-BE32-E72D297353CC}">
              <c16:uniqueId val="{00000000-D153-4EBF-81ED-EF4624B10E9B}"/>
            </c:ext>
          </c:extLst>
        </c:ser>
        <c:ser>
          <c:idx val="1"/>
          <c:order val="1"/>
          <c:tx>
            <c:strRef>
              <c:f>'1-17'!$S$1</c:f>
              <c:strCache>
                <c:ptCount val="1"/>
                <c:pt idx="0">
                  <c:v>2018</c:v>
                </c:pt>
              </c:strCache>
            </c:strRef>
          </c:tx>
          <c:spPr>
            <a:solidFill>
              <a:schemeClr val="accent2"/>
            </a:solidFill>
            <a:ln>
              <a:noFill/>
            </a:ln>
            <a:effectLst/>
          </c:spPr>
          <c:invertIfNegative val="0"/>
          <c:cat>
            <c:strRef>
              <c:f>'1-17'!$Q$2:$Q$11</c:f>
              <c:strCache>
                <c:ptCount val="10"/>
                <c:pt idx="0">
                  <c:v>GM (Est.)</c:v>
                </c:pt>
                <c:pt idx="1">
                  <c:v>Ford</c:v>
                </c:pt>
                <c:pt idx="2">
                  <c:v>Toyota</c:v>
                </c:pt>
                <c:pt idx="3">
                  <c:v>Fiat Chrysler </c:v>
                </c:pt>
                <c:pt idx="4">
                  <c:v>Honda</c:v>
                </c:pt>
                <c:pt idx="5">
                  <c:v>Nissan</c:v>
                </c:pt>
                <c:pt idx="6">
                  <c:v>Subaru</c:v>
                </c:pt>
                <c:pt idx="7">
                  <c:v>Hyundai</c:v>
                </c:pt>
                <c:pt idx="8">
                  <c:v>Kia</c:v>
                </c:pt>
                <c:pt idx="9">
                  <c:v>VW</c:v>
                </c:pt>
              </c:strCache>
            </c:strRef>
          </c:cat>
          <c:val>
            <c:numRef>
              <c:f>'1-17'!$S$2:$S$11</c:f>
              <c:numCache>
                <c:formatCode>_(* #,##0_);_(* \(#,##0\);_(* "-"??_);_(@_)</c:formatCode>
                <c:ptCount val="10"/>
                <c:pt idx="0">
                  <c:v>2654568</c:v>
                </c:pt>
                <c:pt idx="1">
                  <c:v>2265590</c:v>
                </c:pt>
                <c:pt idx="2">
                  <c:v>2205762</c:v>
                </c:pt>
                <c:pt idx="3">
                  <c:v>2038684</c:v>
                </c:pt>
                <c:pt idx="4">
                  <c:v>1449713</c:v>
                </c:pt>
                <c:pt idx="5">
                  <c:v>1345157</c:v>
                </c:pt>
                <c:pt idx="6">
                  <c:v>615594</c:v>
                </c:pt>
                <c:pt idx="7">
                  <c:v>612225</c:v>
                </c:pt>
                <c:pt idx="8">
                  <c:v>542245</c:v>
                </c:pt>
                <c:pt idx="9">
                  <c:v>322017</c:v>
                </c:pt>
              </c:numCache>
            </c:numRef>
          </c:val>
          <c:extLst>
            <c:ext xmlns:c16="http://schemas.microsoft.com/office/drawing/2014/chart" uri="{C3380CC4-5D6E-409C-BE32-E72D297353CC}">
              <c16:uniqueId val="{00000001-D153-4EBF-81ED-EF4624B10E9B}"/>
            </c:ext>
          </c:extLst>
        </c:ser>
        <c:dLbls>
          <c:showLegendKey val="0"/>
          <c:showVal val="0"/>
          <c:showCatName val="0"/>
          <c:showSerName val="0"/>
          <c:showPercent val="0"/>
          <c:showBubbleSize val="0"/>
        </c:dLbls>
        <c:gapWidth val="219"/>
        <c:overlap val="-27"/>
        <c:axId val="841105496"/>
        <c:axId val="841103856"/>
      </c:barChart>
      <c:catAx>
        <c:axId val="84110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03856"/>
        <c:crosses val="autoZero"/>
        <c:auto val="1"/>
        <c:lblAlgn val="ctr"/>
        <c:lblOffset val="100"/>
        <c:noMultiLvlLbl val="0"/>
      </c:catAx>
      <c:valAx>
        <c:axId val="841103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0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'2-31'!$Q$1</c:f>
              <c:strCache>
                <c:ptCount val="1"/>
                <c:pt idx="0">
                  <c:v>Frequency</c:v>
                </c:pt>
              </c:strCache>
            </c:strRef>
          </c:tx>
          <c:spPr>
            <a:solidFill>
              <a:schemeClr val="accent1"/>
            </a:solidFill>
            <a:ln>
              <a:noFill/>
            </a:ln>
            <a:effectLst/>
          </c:spPr>
          <c:invertIfNegative val="0"/>
          <c:cat>
            <c:strRef>
              <c:f>'2-31'!$P$2:$P$7</c:f>
              <c:strCache>
                <c:ptCount val="6"/>
                <c:pt idx="0">
                  <c:v>0.0 up to 2.0</c:v>
                </c:pt>
                <c:pt idx="1">
                  <c:v>2.0 up to 4.0</c:v>
                </c:pt>
                <c:pt idx="2">
                  <c:v>4.0 up to 6.0</c:v>
                </c:pt>
                <c:pt idx="3">
                  <c:v>6.0 up to 8.0</c:v>
                </c:pt>
                <c:pt idx="4">
                  <c:v>8.0 up to 10.0</c:v>
                </c:pt>
                <c:pt idx="5">
                  <c:v>10.0 up to 12.0</c:v>
                </c:pt>
              </c:strCache>
            </c:strRef>
          </c:cat>
          <c:val>
            <c:numRef>
              <c:f>'2-31'!$Q$2:$Q$7</c:f>
              <c:numCache>
                <c:formatCode>General</c:formatCode>
                <c:ptCount val="6"/>
                <c:pt idx="0">
                  <c:v>1</c:v>
                </c:pt>
                <c:pt idx="1">
                  <c:v>5</c:v>
                </c:pt>
                <c:pt idx="2">
                  <c:v>12</c:v>
                </c:pt>
                <c:pt idx="3">
                  <c:v>17</c:v>
                </c:pt>
                <c:pt idx="4">
                  <c:v>8</c:v>
                </c:pt>
                <c:pt idx="5">
                  <c:v>2</c:v>
                </c:pt>
              </c:numCache>
            </c:numRef>
          </c:val>
          <c:extLst>
            <c:ext xmlns:c16="http://schemas.microsoft.com/office/drawing/2014/chart" uri="{C3380CC4-5D6E-409C-BE32-E72D297353CC}">
              <c16:uniqueId val="{00000000-E69E-4844-AAD7-FC65FA61B349}"/>
            </c:ext>
          </c:extLst>
        </c:ser>
        <c:dLbls>
          <c:showLegendKey val="0"/>
          <c:showVal val="0"/>
          <c:showCatName val="0"/>
          <c:showSerName val="0"/>
          <c:showPercent val="0"/>
          <c:showBubbleSize val="0"/>
        </c:dLbls>
        <c:gapWidth val="219"/>
        <c:overlap val="-27"/>
        <c:axId val="134991696"/>
        <c:axId val="762689656"/>
      </c:barChart>
      <c:catAx>
        <c:axId val="1349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89656"/>
        <c:crosses val="autoZero"/>
        <c:auto val="1"/>
        <c:lblAlgn val="ctr"/>
        <c:lblOffset val="100"/>
        <c:noMultiLvlLbl val="0"/>
      </c:catAx>
      <c:valAx>
        <c:axId val="76268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'2-37'!$O$1</c:f>
              <c:strCache>
                <c:ptCount val="1"/>
                <c:pt idx="0">
                  <c:v>Frequency</c:v>
                </c:pt>
              </c:strCache>
            </c:strRef>
          </c:tx>
          <c:spPr>
            <a:solidFill>
              <a:schemeClr val="accent1"/>
            </a:solidFill>
            <a:ln>
              <a:noFill/>
            </a:ln>
            <a:effectLst/>
          </c:spPr>
          <c:invertIfNegative val="0"/>
          <c:cat>
            <c:strRef>
              <c:f>'2-37'!$N$2:$N$7</c:f>
              <c:strCache>
                <c:ptCount val="6"/>
                <c:pt idx="0">
                  <c:v>$70.00 up to $105.00</c:v>
                </c:pt>
                <c:pt idx="1">
                  <c:v>$105.00 up to $140.00</c:v>
                </c:pt>
                <c:pt idx="2">
                  <c:v>$140.00 up to $175.00</c:v>
                </c:pt>
                <c:pt idx="3">
                  <c:v>$175.00 up to $210.00</c:v>
                </c:pt>
                <c:pt idx="4">
                  <c:v>$210.00 up to $245.00</c:v>
                </c:pt>
                <c:pt idx="5">
                  <c:v>$245.00 up to $280.00</c:v>
                </c:pt>
              </c:strCache>
            </c:strRef>
          </c:cat>
          <c:val>
            <c:numRef>
              <c:f>'2-37'!$O$2:$O$7</c:f>
              <c:numCache>
                <c:formatCode>General</c:formatCode>
                <c:ptCount val="6"/>
                <c:pt idx="0">
                  <c:v>4</c:v>
                </c:pt>
                <c:pt idx="1">
                  <c:v>17</c:v>
                </c:pt>
                <c:pt idx="2">
                  <c:v>14</c:v>
                </c:pt>
                <c:pt idx="3">
                  <c:v>2</c:v>
                </c:pt>
                <c:pt idx="4">
                  <c:v>6</c:v>
                </c:pt>
                <c:pt idx="5">
                  <c:v>1</c:v>
                </c:pt>
              </c:numCache>
            </c:numRef>
          </c:val>
          <c:extLst>
            <c:ext xmlns:c16="http://schemas.microsoft.com/office/drawing/2014/chart" uri="{C3380CC4-5D6E-409C-BE32-E72D297353CC}">
              <c16:uniqueId val="{00000000-E98B-4399-8978-675FF0A9E7D1}"/>
            </c:ext>
          </c:extLst>
        </c:ser>
        <c:dLbls>
          <c:showLegendKey val="0"/>
          <c:showVal val="0"/>
          <c:showCatName val="0"/>
          <c:showSerName val="0"/>
          <c:showPercent val="0"/>
          <c:showBubbleSize val="0"/>
        </c:dLbls>
        <c:gapWidth val="219"/>
        <c:overlap val="-27"/>
        <c:axId val="134828592"/>
        <c:axId val="134830232"/>
      </c:barChart>
      <c:catAx>
        <c:axId val="1348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232"/>
        <c:crosses val="autoZero"/>
        <c:auto val="1"/>
        <c:lblAlgn val="ctr"/>
        <c:lblOffset val="100"/>
        <c:noMultiLvlLbl val="0"/>
      </c:catAx>
      <c:valAx>
        <c:axId val="13483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Ten</a:t>
            </a:r>
            <a:r>
              <a:rPr lang="en-US" b="1" baseline="0"/>
              <a:t> Manufacturer Sales</a:t>
            </a:r>
          </a:p>
          <a:p>
            <a:pPr>
              <a:defRPr/>
            </a:pPr>
            <a:r>
              <a:rPr lang="en-US" b="1" baseline="0"/>
              <a:t>(Percent Change)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'1-17'!$U$1</c:f>
              <c:strCache>
                <c:ptCount val="1"/>
                <c:pt idx="0">
                  <c:v>Percent Change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'1-17'!$Q$2:$Q$11</c:f>
              <c:strCache>
                <c:ptCount val="10"/>
                <c:pt idx="0">
                  <c:v>GM (Est.)</c:v>
                </c:pt>
                <c:pt idx="1">
                  <c:v>Ford</c:v>
                </c:pt>
                <c:pt idx="2">
                  <c:v>Toyota</c:v>
                </c:pt>
                <c:pt idx="3">
                  <c:v>Fiat Chrysler </c:v>
                </c:pt>
                <c:pt idx="4">
                  <c:v>Honda</c:v>
                </c:pt>
                <c:pt idx="5">
                  <c:v>Nissan</c:v>
                </c:pt>
                <c:pt idx="6">
                  <c:v>Subaru</c:v>
                </c:pt>
                <c:pt idx="7">
                  <c:v>Hyundai</c:v>
                </c:pt>
                <c:pt idx="8">
                  <c:v>Kia</c:v>
                </c:pt>
                <c:pt idx="9">
                  <c:v>VW</c:v>
                </c:pt>
              </c:strCache>
            </c:strRef>
          </c:cat>
          <c:val>
            <c:numRef>
              <c:f>'1-17'!$U$2:$U$11</c:f>
              <c:numCache>
                <c:formatCode>0.0%</c:formatCode>
                <c:ptCount val="10"/>
                <c:pt idx="0">
                  <c:v>-1.3719151415218246E-2</c:v>
                </c:pt>
                <c:pt idx="1">
                  <c:v>-2.9430790518744459E-2</c:v>
                </c:pt>
                <c:pt idx="2">
                  <c:v>-2.6095020965095253E-3</c:v>
                </c:pt>
                <c:pt idx="3">
                  <c:v>8.0137541524718803E-2</c:v>
                </c:pt>
                <c:pt idx="4">
                  <c:v>-2.8415427260152053E-2</c:v>
                </c:pt>
                <c:pt idx="5">
                  <c:v>-7.5644671180933973E-2</c:v>
                </c:pt>
                <c:pt idx="6">
                  <c:v>5.299223077107288E-2</c:v>
                </c:pt>
                <c:pt idx="7">
                  <c:v>-1.5653714621977906E-2</c:v>
                </c:pt>
                <c:pt idx="8">
                  <c:v>-8.0200647971476087E-3</c:v>
                </c:pt>
                <c:pt idx="9">
                  <c:v>4.0795746537597571E-2</c:v>
                </c:pt>
              </c:numCache>
            </c:numRef>
          </c:val>
          <c:extLst>
            <c:ext xmlns:c16="http://schemas.microsoft.com/office/drawing/2014/chart" uri="{C3380CC4-5D6E-409C-BE32-E72D297353CC}">
              <c16:uniqueId val="{00000003-30D5-42BA-883F-DDF70C198FA4}"/>
            </c:ext>
          </c:extLst>
        </c:ser>
        <c:dLbls>
          <c:showLegendKey val="0"/>
          <c:showVal val="1"/>
          <c:showCatName val="0"/>
          <c:showSerName val="0"/>
          <c:showPercent val="0"/>
          <c:showBubbleSize val="0"/>
        </c:dLbls>
        <c:gapWidth val="182"/>
        <c:axId val="742038136"/>
        <c:axId val="742039448"/>
      </c:barChart>
      <c:catAx>
        <c:axId val="742038136"/>
        <c:scaling>
          <c:orientation val="minMax"/>
        </c:scaling>
        <c:delete val="1"/>
        <c:axPos val="l"/>
        <c:numFmt formatCode="General" sourceLinked="1"/>
        <c:majorTickMark val="none"/>
        <c:minorTickMark val="none"/>
        <c:tickLblPos val="nextTo"/>
        <c:crossAx val="742039448"/>
        <c:crosses val="autoZero"/>
        <c:auto val="1"/>
        <c:lblAlgn val="ctr"/>
        <c:lblOffset val="100"/>
        <c:noMultiLvlLbl val="0"/>
      </c:catAx>
      <c:valAx>
        <c:axId val="7420394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3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'2-5'!$J$22</c:f>
              <c:strCache>
                <c:ptCount val="1"/>
                <c:pt idx="0">
                  <c:v>Responses</c:v>
                </c:pt>
              </c:strCache>
            </c:strRef>
          </c:tx>
          <c:spPr>
            <a:solidFill>
              <a:schemeClr val="accent1"/>
            </a:solidFill>
            <a:ln>
              <a:noFill/>
            </a:ln>
            <a:effectLst/>
          </c:spPr>
          <c:invertIfNegative val="0"/>
          <c:cat>
            <c:strRef>
              <c:f>'2-5'!$I$23:$I$27</c:f>
              <c:strCache>
                <c:ptCount val="5"/>
                <c:pt idx="0">
                  <c:v>Metallic black</c:v>
                </c:pt>
                <c:pt idx="1">
                  <c:v>Bright white</c:v>
                </c:pt>
                <c:pt idx="2">
                  <c:v>Fusion red</c:v>
                </c:pt>
                <c:pt idx="3">
                  <c:v>Magnetic lime</c:v>
                </c:pt>
                <c:pt idx="4">
                  <c:v>Tangerine orange</c:v>
                </c:pt>
              </c:strCache>
            </c:strRef>
          </c:cat>
          <c:val>
            <c:numRef>
              <c:f>'2-5'!$J$23:$J$27</c:f>
              <c:numCache>
                <c:formatCode>General</c:formatCode>
                <c:ptCount val="5"/>
                <c:pt idx="0">
                  <c:v>104</c:v>
                </c:pt>
                <c:pt idx="1">
                  <c:v>130</c:v>
                </c:pt>
                <c:pt idx="2">
                  <c:v>286</c:v>
                </c:pt>
                <c:pt idx="3">
                  <c:v>325</c:v>
                </c:pt>
                <c:pt idx="4">
                  <c:v>455</c:v>
                </c:pt>
              </c:numCache>
            </c:numRef>
          </c:val>
          <c:extLst>
            <c:ext xmlns:c16="http://schemas.microsoft.com/office/drawing/2014/chart" uri="{C3380CC4-5D6E-409C-BE32-E72D297353CC}">
              <c16:uniqueId val="{00000000-8230-4EEB-AB69-E930DD2F2D6F}"/>
            </c:ext>
          </c:extLst>
        </c:ser>
        <c:dLbls>
          <c:showLegendKey val="0"/>
          <c:showVal val="0"/>
          <c:showCatName val="0"/>
          <c:showSerName val="0"/>
          <c:showPercent val="0"/>
          <c:showBubbleSize val="0"/>
        </c:dLbls>
        <c:gapWidth val="182"/>
        <c:axId val="739916600"/>
        <c:axId val="739917584"/>
      </c:barChart>
      <c:catAx>
        <c:axId val="739916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17584"/>
        <c:crosses val="autoZero"/>
        <c:auto val="1"/>
        <c:lblAlgn val="ctr"/>
        <c:lblOffset val="100"/>
        <c:noMultiLvlLbl val="0"/>
      </c:catAx>
      <c:valAx>
        <c:axId val="73991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1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'2-5'!$J$22</c:f>
              <c:strCache>
                <c:ptCount val="1"/>
                <c:pt idx="0">
                  <c:v>Responses</c:v>
                </c:pt>
              </c:strCache>
            </c:strRef>
          </c:tx>
          <c:spPr>
            <a:solidFill>
              <a:schemeClr val="accent2"/>
            </a:solidFill>
          </c:spPr>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5-C2AA-4E29-9642-0E2D8E2B348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4-C2AA-4E29-9642-0E2D8E2B3480}"/>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3-C2AA-4E29-9642-0E2D8E2B348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2-C2AA-4E29-9642-0E2D8E2B348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0362-42D8-84DB-5C7A7C1C325A}"/>
              </c:ext>
            </c:extLst>
          </c:dPt>
          <c:dLbls>
            <c:dLbl>
              <c:idx val="2"/>
              <c:layout>
                <c:manualLayout>
                  <c:x val="1.6023293963254592E-2"/>
                  <c:y val="6.80323162729658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AA-4E29-9642-0E2D8E2B34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'2-5'!$I$23:$I$27</c:f>
              <c:strCache>
                <c:ptCount val="5"/>
                <c:pt idx="0">
                  <c:v>Metallic black</c:v>
                </c:pt>
                <c:pt idx="1">
                  <c:v>Bright white</c:v>
                </c:pt>
                <c:pt idx="2">
                  <c:v>Fusion red</c:v>
                </c:pt>
                <c:pt idx="3">
                  <c:v>Magnetic lime</c:v>
                </c:pt>
                <c:pt idx="4">
                  <c:v>Tangerine orange</c:v>
                </c:pt>
              </c:strCache>
            </c:strRef>
          </c:cat>
          <c:val>
            <c:numRef>
              <c:f>'2-5'!$J$23:$J$27</c:f>
              <c:numCache>
                <c:formatCode>General</c:formatCode>
                <c:ptCount val="5"/>
                <c:pt idx="0">
                  <c:v>104</c:v>
                </c:pt>
                <c:pt idx="1">
                  <c:v>130</c:v>
                </c:pt>
                <c:pt idx="2">
                  <c:v>286</c:v>
                </c:pt>
                <c:pt idx="3">
                  <c:v>325</c:v>
                </c:pt>
                <c:pt idx="4">
                  <c:v>455</c:v>
                </c:pt>
              </c:numCache>
            </c:numRef>
          </c:val>
          <c:extLst>
            <c:ext xmlns:c16="http://schemas.microsoft.com/office/drawing/2014/chart" uri="{C3380CC4-5D6E-409C-BE32-E72D297353CC}">
              <c16:uniqueId val="{00000000-C2AA-4E29-9642-0E2D8E2B348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Units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'2-11'!$Q$3</c:f>
              <c:strCache>
                <c:ptCount val="1"/>
                <c:pt idx="0">
                  <c:v>Count</c:v>
                </c:pt>
              </c:strCache>
            </c:strRef>
          </c:tx>
          <c:spPr>
            <a:solidFill>
              <a:schemeClr val="accent1"/>
            </a:solidFill>
            <a:ln>
              <a:noFill/>
            </a:ln>
            <a:effectLst/>
          </c:spPr>
          <c:invertIfNegative val="0"/>
          <c:cat>
            <c:strRef>
              <c:f>'2-11'!$P$4:$P$8</c:f>
              <c:strCache>
                <c:ptCount val="5"/>
                <c:pt idx="0">
                  <c:v>24.0 up to 25.5</c:v>
                </c:pt>
                <c:pt idx="1">
                  <c:v>25.5 up to 27.0</c:v>
                </c:pt>
                <c:pt idx="2">
                  <c:v>27.0 up to 28.5</c:v>
                </c:pt>
                <c:pt idx="3">
                  <c:v>28.5 up to 30.0</c:v>
                </c:pt>
                <c:pt idx="4">
                  <c:v>30.0 up to 31.5</c:v>
                </c:pt>
              </c:strCache>
            </c:strRef>
          </c:cat>
          <c:val>
            <c:numRef>
              <c:f>'2-11'!$Q$4:$Q$8</c:f>
              <c:numCache>
                <c:formatCode>General</c:formatCode>
                <c:ptCount val="5"/>
                <c:pt idx="0">
                  <c:v>2</c:v>
                </c:pt>
                <c:pt idx="1">
                  <c:v>4</c:v>
                </c:pt>
                <c:pt idx="2">
                  <c:v>8</c:v>
                </c:pt>
                <c:pt idx="3">
                  <c:v>0</c:v>
                </c:pt>
                <c:pt idx="4">
                  <c:v>2</c:v>
                </c:pt>
              </c:numCache>
            </c:numRef>
          </c:val>
          <c:extLst>
            <c:ext xmlns:c16="http://schemas.microsoft.com/office/drawing/2014/chart" uri="{C3380CC4-5D6E-409C-BE32-E72D297353CC}">
              <c16:uniqueId val="{00000000-2737-4A26-8582-0F71EECAEB59}"/>
            </c:ext>
          </c:extLst>
        </c:ser>
        <c:dLbls>
          <c:showLegendKey val="0"/>
          <c:showVal val="0"/>
          <c:showCatName val="0"/>
          <c:showSerName val="0"/>
          <c:showPercent val="0"/>
          <c:showBubbleSize val="0"/>
        </c:dLbls>
        <c:gapWidth val="219"/>
        <c:overlap val="-27"/>
        <c:axId val="548220816"/>
        <c:axId val="548221456"/>
      </c:barChart>
      <c:catAx>
        <c:axId val="5482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1456"/>
        <c:crosses val="autoZero"/>
        <c:auto val="1"/>
        <c:lblAlgn val="ctr"/>
        <c:lblOffset val="100"/>
        <c:noMultiLvlLbl val="0"/>
      </c:catAx>
      <c:valAx>
        <c:axId val="5482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'2-17'!$E$23</c:f>
              <c:strCache>
                <c:ptCount val="1"/>
                <c:pt idx="0">
                  <c:v>Number of Employees</c:v>
                </c:pt>
              </c:strCache>
            </c:strRef>
          </c:tx>
          <c:spPr>
            <a:solidFill>
              <a:schemeClr val="accent1"/>
            </a:solidFill>
            <a:ln>
              <a:noFill/>
            </a:ln>
            <a:effectLst/>
          </c:spPr>
          <c:invertIfNegative val="0"/>
          <c:cat>
            <c:strRef>
              <c:f>'2-17'!$C$24:$C$28</c:f>
              <c:strCache>
                <c:ptCount val="5"/>
                <c:pt idx="0">
                  <c:v>0 up to 3</c:v>
                </c:pt>
                <c:pt idx="1">
                  <c:v>3 up to 6</c:v>
                </c:pt>
                <c:pt idx="2">
                  <c:v>6 up to 9</c:v>
                </c:pt>
                <c:pt idx="3">
                  <c:v>9 up to 12</c:v>
                </c:pt>
                <c:pt idx="4">
                  <c:v>12 up to 15</c:v>
                </c:pt>
              </c:strCache>
            </c:strRef>
          </c:cat>
          <c:val>
            <c:numRef>
              <c:f>'2-17'!$E$24:$E$28</c:f>
              <c:numCache>
                <c:formatCode>General</c:formatCode>
                <c:ptCount val="5"/>
                <c:pt idx="0">
                  <c:v>5</c:v>
                </c:pt>
                <c:pt idx="1">
                  <c:v>12</c:v>
                </c:pt>
                <c:pt idx="2">
                  <c:v>23</c:v>
                </c:pt>
                <c:pt idx="3">
                  <c:v>8</c:v>
                </c:pt>
                <c:pt idx="4">
                  <c:v>2</c:v>
                </c:pt>
              </c:numCache>
            </c:numRef>
          </c:val>
          <c:extLst>
            <c:ext xmlns:c16="http://schemas.microsoft.com/office/drawing/2014/chart" uri="{C3380CC4-5D6E-409C-BE32-E72D297353CC}">
              <c16:uniqueId val="{00000000-6A93-4063-AFD6-64B13ADADB5A}"/>
            </c:ext>
          </c:extLst>
        </c:ser>
        <c:dLbls>
          <c:showLegendKey val="0"/>
          <c:showVal val="0"/>
          <c:showCatName val="0"/>
          <c:showSerName val="0"/>
          <c:showPercent val="0"/>
          <c:showBubbleSize val="0"/>
        </c:dLbls>
        <c:gapWidth val="219"/>
        <c:overlap val="-27"/>
        <c:axId val="629577680"/>
        <c:axId val="629579280"/>
      </c:barChart>
      <c:catAx>
        <c:axId val="62957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Frequent Flier Miles (000)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9280"/>
        <c:crosses val="autoZero"/>
        <c:auto val="1"/>
        <c:lblAlgn val="ctr"/>
        <c:lblOffset val="100"/>
        <c:noMultiLvlLbl val="0"/>
      </c:catAx>
      <c:valAx>
        <c:axId val="6295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'2-17'!$E$23</c:f>
              <c:strCache>
                <c:ptCount val="1"/>
                <c:pt idx="0">
                  <c:v>Number of Employees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'2-17'!$D$24:$D$28</c:f>
              <c:numCache>
                <c:formatCode>General</c:formatCode>
                <c:ptCount val="5"/>
                <c:pt idx="0">
                  <c:v>1.5</c:v>
                </c:pt>
                <c:pt idx="1">
                  <c:v>4.5</c:v>
                </c:pt>
                <c:pt idx="2">
                  <c:v>7.5</c:v>
                </c:pt>
                <c:pt idx="3">
                  <c:v>10.5</c:v>
                </c:pt>
                <c:pt idx="4">
                  <c:v>13.5</c:v>
                </c:pt>
              </c:numCache>
            </c:numRef>
          </c:xVal>
          <c:yVal>
            <c:numRef>
              <c:f>'2-17'!$E$24:$E$28</c:f>
              <c:numCache>
                <c:formatCode>General</c:formatCode>
                <c:ptCount val="5"/>
                <c:pt idx="0">
                  <c:v>5</c:v>
                </c:pt>
                <c:pt idx="1">
                  <c:v>12</c:v>
                </c:pt>
                <c:pt idx="2">
                  <c:v>23</c:v>
                </c:pt>
                <c:pt idx="3">
                  <c:v>8</c:v>
                </c:pt>
                <c:pt idx="4">
                  <c:v>2</c:v>
                </c:pt>
              </c:numCache>
            </c:numRef>
          </c:yVal>
          <c:smooth val="0"/>
          <c:extLst>
            <c:ext xmlns:c16="http://schemas.microsoft.com/office/drawing/2014/chart" uri="{C3380CC4-5D6E-409C-BE32-E72D297353CC}">
              <c16:uniqueId val="{00000000-7F7C-4B16-BBE4-60B7B949E4AD}"/>
            </c:ext>
          </c:extLst>
        </c:ser>
        <c:dLbls>
          <c:showLegendKey val="0"/>
          <c:showVal val="0"/>
          <c:showCatName val="0"/>
          <c:showSerName val="0"/>
          <c:showPercent val="0"/>
          <c:showBubbleSize val="0"/>
        </c:dLbls>
        <c:axId val="681244112"/>
        <c:axId val="681243152"/>
      </c:scatterChart>
      <c:valAx>
        <c:axId val="68124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Frequent Flier Miles (000)</a:t>
                </a:r>
                <a:endParaRPr lang="en-US"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43152"/>
        <c:crosses val="autoZero"/>
        <c:crossBetween val="midCat"/>
        <c:majorUnit val="1.5"/>
      </c:valAx>
      <c:valAx>
        <c:axId val="6812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4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'2-21'!$O$3</c:f>
              <c:strCache>
                <c:ptCount val="1"/>
                <c:pt idx="0">
                  <c:v>CF</c:v>
                </c:pt>
              </c:strCache>
            </c:strRef>
          </c:tx>
          <c:spPr>
            <a:ln w="190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'2-21'!$N$4:$N$9</c:f>
              <c:numCache>
                <c:formatCode>General</c:formatCode>
                <c:ptCount val="6"/>
                <c:pt idx="0">
                  <c:v>0</c:v>
                </c:pt>
                <c:pt idx="1">
                  <c:v>3</c:v>
                </c:pt>
                <c:pt idx="2">
                  <c:v>6</c:v>
                </c:pt>
                <c:pt idx="3">
                  <c:v>9</c:v>
                </c:pt>
                <c:pt idx="4">
                  <c:v>12</c:v>
                </c:pt>
                <c:pt idx="5">
                  <c:v>15</c:v>
                </c:pt>
              </c:numCache>
            </c:numRef>
          </c:cat>
          <c:val>
            <c:numRef>
              <c:f>'2-21'!$O$4:$O$9</c:f>
              <c:numCache>
                <c:formatCode>General</c:formatCode>
                <c:ptCount val="6"/>
                <c:pt idx="0">
                  <c:v>0</c:v>
                </c:pt>
                <c:pt idx="1">
                  <c:v>5</c:v>
                </c:pt>
                <c:pt idx="2">
                  <c:v>17</c:v>
                </c:pt>
                <c:pt idx="3">
                  <c:v>40</c:v>
                </c:pt>
                <c:pt idx="4">
                  <c:v>48</c:v>
                </c:pt>
                <c:pt idx="5">
                  <c:v>50</c:v>
                </c:pt>
              </c:numCache>
            </c:numRef>
          </c:val>
          <c:smooth val="0"/>
          <c:extLst>
            <c:ext xmlns:c16="http://schemas.microsoft.com/office/drawing/2014/chart" uri="{C3380CC4-5D6E-409C-BE32-E72D297353CC}">
              <c16:uniqueId val="{00000000-E37F-48F9-B8E4-D19947D172B0}"/>
            </c:ext>
          </c:extLst>
        </c:ser>
        <c:dLbls>
          <c:showLegendKey val="0"/>
          <c:showVal val="1"/>
          <c:showCatName val="0"/>
          <c:showSerName val="0"/>
          <c:showPercent val="0"/>
          <c:showBubbleSize val="0"/>
        </c:dLbls>
        <c:marker val="1"/>
        <c:smooth val="0"/>
        <c:axId val="641515408"/>
        <c:axId val="641517328"/>
      </c:lineChart>
      <c:lineChart>
        <c:grouping val="standard"/>
        <c:varyColors val="0"/>
        <c:ser>
          <c:idx val="1"/>
          <c:order val="1"/>
          <c:tx>
            <c:strRef>
              <c:f>'2-21'!$P$3</c:f>
              <c:strCache>
                <c:ptCount val="1"/>
                <c:pt idx="0">
                  <c:v>CRF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'2-21'!$N$4:$N$9</c:f>
              <c:numCache>
                <c:formatCode>General</c:formatCode>
                <c:ptCount val="6"/>
                <c:pt idx="0">
                  <c:v>0</c:v>
                </c:pt>
                <c:pt idx="1">
                  <c:v>3</c:v>
                </c:pt>
                <c:pt idx="2">
                  <c:v>6</c:v>
                </c:pt>
                <c:pt idx="3">
                  <c:v>9</c:v>
                </c:pt>
                <c:pt idx="4">
                  <c:v>12</c:v>
                </c:pt>
                <c:pt idx="5">
                  <c:v>15</c:v>
                </c:pt>
              </c:numCache>
            </c:numRef>
          </c:cat>
          <c:val>
            <c:numRef>
              <c:f>'2-21'!$P$4:$P$9</c:f>
              <c:numCache>
                <c:formatCode>0%</c:formatCode>
                <c:ptCount val="6"/>
                <c:pt idx="0">
                  <c:v>0</c:v>
                </c:pt>
                <c:pt idx="1">
                  <c:v>0.1</c:v>
                </c:pt>
                <c:pt idx="2">
                  <c:v>0.34</c:v>
                </c:pt>
                <c:pt idx="3">
                  <c:v>0.8</c:v>
                </c:pt>
                <c:pt idx="4">
                  <c:v>0.96</c:v>
                </c:pt>
                <c:pt idx="5">
                  <c:v>1</c:v>
                </c:pt>
              </c:numCache>
            </c:numRef>
          </c:val>
          <c:smooth val="0"/>
          <c:extLst>
            <c:ext xmlns:c16="http://schemas.microsoft.com/office/drawing/2014/chart" uri="{C3380CC4-5D6E-409C-BE32-E72D297353CC}">
              <c16:uniqueId val="{00000004-E37F-48F9-B8E4-D19947D172B0}"/>
            </c:ext>
          </c:extLst>
        </c:ser>
        <c:dLbls>
          <c:showLegendKey val="0"/>
          <c:showVal val="0"/>
          <c:showCatName val="0"/>
          <c:showSerName val="0"/>
          <c:showPercent val="0"/>
          <c:showBubbleSize val="0"/>
        </c:dLbls>
        <c:marker val="1"/>
        <c:smooth val="0"/>
        <c:axId val="629593360"/>
        <c:axId val="629593040"/>
      </c:lineChart>
      <c:catAx>
        <c:axId val="64151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Frequent Flier Miles (000)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7328"/>
        <c:crosses val="autoZero"/>
        <c:auto val="1"/>
        <c:lblAlgn val="ctr"/>
        <c:lblOffset val="100"/>
        <c:tickMarkSkip val="1"/>
        <c:noMultiLvlLbl val="0"/>
      </c:catAx>
      <c:valAx>
        <c:axId val="64151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5408"/>
        <c:crosses val="autoZero"/>
        <c:crossBetween val="midCat"/>
      </c:valAx>
      <c:valAx>
        <c:axId val="6295930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93360"/>
        <c:crosses val="max"/>
        <c:crossBetween val="between"/>
        <c:minorUnit val="5.000000000000001E-2"/>
      </c:valAx>
      <c:catAx>
        <c:axId val="629593360"/>
        <c:scaling>
          <c:orientation val="minMax"/>
        </c:scaling>
        <c:delete val="1"/>
        <c:axPos val="b"/>
        <c:numFmt formatCode="General" sourceLinked="1"/>
        <c:majorTickMark val="out"/>
        <c:minorTickMark val="none"/>
        <c:tickLblPos val="nextTo"/>
        <c:crossAx val="629593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'2-29'!$I$13</c:f>
              <c:strCache>
                <c:ptCount val="1"/>
                <c:pt idx="0">
                  <c:v>Frequency</c:v>
                </c:pt>
              </c:strCache>
            </c:strRef>
          </c:tx>
          <c:spPr>
            <a:solidFill>
              <a:schemeClr val="accent1"/>
            </a:solidFill>
            <a:ln>
              <a:noFill/>
            </a:ln>
            <a:effectLst/>
          </c:spPr>
          <c:invertIfNegative val="0"/>
          <c:cat>
            <c:strRef>
              <c:f>'2-29'!$H$14:$H$18</c:f>
              <c:strCache>
                <c:ptCount val="5"/>
                <c:pt idx="0">
                  <c:v>15 up to 22</c:v>
                </c:pt>
                <c:pt idx="1">
                  <c:v>22 up to 29</c:v>
                </c:pt>
                <c:pt idx="2">
                  <c:v>29 up to 36</c:v>
                </c:pt>
                <c:pt idx="3">
                  <c:v>36 up to 43</c:v>
                </c:pt>
                <c:pt idx="4">
                  <c:v>43 up to 50</c:v>
                </c:pt>
              </c:strCache>
            </c:strRef>
          </c:cat>
          <c:val>
            <c:numRef>
              <c:f>'2-29'!$I$14:$I$18</c:f>
              <c:numCache>
                <c:formatCode>General</c:formatCode>
                <c:ptCount val="5"/>
                <c:pt idx="0">
                  <c:v>3</c:v>
                </c:pt>
                <c:pt idx="1">
                  <c:v>8</c:v>
                </c:pt>
                <c:pt idx="2">
                  <c:v>7</c:v>
                </c:pt>
                <c:pt idx="3">
                  <c:v>5</c:v>
                </c:pt>
                <c:pt idx="4">
                  <c:v>2</c:v>
                </c:pt>
              </c:numCache>
            </c:numRef>
          </c:val>
          <c:extLst>
            <c:ext xmlns:c16="http://schemas.microsoft.com/office/drawing/2014/chart" uri="{C3380CC4-5D6E-409C-BE32-E72D297353CC}">
              <c16:uniqueId val="{00000000-82E6-4D83-BAC1-2D8F9CF1A8A2}"/>
            </c:ext>
          </c:extLst>
        </c:ser>
        <c:dLbls>
          <c:showLegendKey val="0"/>
          <c:showVal val="0"/>
          <c:showCatName val="0"/>
          <c:showSerName val="0"/>
          <c:showPercent val="0"/>
          <c:showBubbleSize val="0"/>
        </c:dLbls>
        <c:gapWidth val="219"/>
        <c:overlap val="-27"/>
        <c:axId val="641517008"/>
        <c:axId val="641513488"/>
      </c:barChart>
      <c:catAx>
        <c:axId val="6415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3488"/>
        <c:crosses val="autoZero"/>
        <c:auto val="1"/>
        <c:lblAlgn val="ctr"/>
        <c:lblOffset val="100"/>
        <c:noMultiLvlLbl val="0"/>
      </c:catAx>
      <c:valAx>
        <c:axId val="6415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65981</xdr:colOff>
      <xdr:row>32</xdr:row>
      <xdr:rowOff>113676</xdr:rowOff>
    </xdr:to>
    <xdr:pic>
      <xdr:nvPicPr>
        <xdr:cNvPr id="2" name="Picture 1">
          <a:extLst>
            <a:ext uri="{FF2B5EF4-FFF2-40B4-BE49-F238E27FC236}">
              <a16:creationId xmlns:a16="http://schemas.microsoft.com/office/drawing/2014/main" id="{16A5F566-6167-4905-920C-DAB9BDE1412A}"/>
            </a:ext>
          </a:extLst>
        </xdr:cNvPr>
        <xdr:cNvPicPr>
          <a:picLocks noChangeAspect="1"/>
        </xdr:cNvPicPr>
      </xdr:nvPicPr>
      <xdr:blipFill>
        <a:blip xmlns:r="http://schemas.openxmlformats.org/officeDocument/2006/relationships" r:embed="rId1"/>
        <a:stretch>
          <a:fillRect/>
        </a:stretch>
      </xdr:blipFill>
      <xdr:spPr>
        <a:xfrm>
          <a:off x="0" y="0"/>
          <a:ext cx="5552381" cy="49904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479452</xdr:colOff>
      <xdr:row>21</xdr:row>
      <xdr:rowOff>0</xdr:rowOff>
    </xdr:to>
    <xdr:pic>
      <xdr:nvPicPr>
        <xdr:cNvPr id="2" name="Picture 1">
          <a:extLst>
            <a:ext uri="{FF2B5EF4-FFF2-40B4-BE49-F238E27FC236}">
              <a16:creationId xmlns:a16="http://schemas.microsoft.com/office/drawing/2014/main" id="{4B2A4939-FBB1-4A74-88B0-4DD51CE66B42}"/>
            </a:ext>
          </a:extLst>
        </xdr:cNvPr>
        <xdr:cNvPicPr>
          <a:picLocks noChangeAspect="1"/>
        </xdr:cNvPicPr>
      </xdr:nvPicPr>
      <xdr:blipFill>
        <a:blip xmlns:r="http://schemas.openxmlformats.org/officeDocument/2006/relationships" r:embed="rId1"/>
        <a:stretch>
          <a:fillRect/>
        </a:stretch>
      </xdr:blipFill>
      <xdr:spPr>
        <a:xfrm>
          <a:off x="0" y="0"/>
          <a:ext cx="5261002" cy="3100388"/>
        </a:xfrm>
        <a:prstGeom prst="rect">
          <a:avLst/>
        </a:prstGeom>
      </xdr:spPr>
    </xdr:pic>
    <xdr:clientData/>
  </xdr:twoCellAnchor>
  <xdr:twoCellAnchor>
    <xdr:from>
      <xdr:col>9</xdr:col>
      <xdr:colOff>0</xdr:colOff>
      <xdr:row>2</xdr:row>
      <xdr:rowOff>1</xdr:rowOff>
    </xdr:from>
    <xdr:to>
      <xdr:col>16</xdr:col>
      <xdr:colOff>0</xdr:colOff>
      <xdr:row>18</xdr:row>
      <xdr:rowOff>1</xdr:rowOff>
    </xdr:to>
    <xdr:graphicFrame macro="">
      <xdr:nvGraphicFramePr>
        <xdr:cNvPr id="4" name="Chart 3">
          <a:extLst>
            <a:ext uri="{FF2B5EF4-FFF2-40B4-BE49-F238E27FC236}">
              <a16:creationId xmlns:a16="http://schemas.microsoft.com/office/drawing/2014/main" id="{C885E0A7-2BD2-45A0-BB4F-346CD6F4A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1</xdr:rowOff>
    </xdr:from>
    <xdr:to>
      <xdr:col>16</xdr:col>
      <xdr:colOff>0</xdr:colOff>
      <xdr:row>36</xdr:row>
      <xdr:rowOff>1</xdr:rowOff>
    </xdr:to>
    <xdr:graphicFrame macro="">
      <xdr:nvGraphicFramePr>
        <xdr:cNvPr id="5" name="Chart 4">
          <a:extLst>
            <a:ext uri="{FF2B5EF4-FFF2-40B4-BE49-F238E27FC236}">
              <a16:creationId xmlns:a16="http://schemas.microsoft.com/office/drawing/2014/main" id="{0C758438-C828-42A1-9DFB-C4F79F2D5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165858</xdr:colOff>
      <xdr:row>22</xdr:row>
      <xdr:rowOff>37676</xdr:rowOff>
    </xdr:to>
    <xdr:pic>
      <xdr:nvPicPr>
        <xdr:cNvPr id="2" name="Picture 1">
          <a:extLst>
            <a:ext uri="{FF2B5EF4-FFF2-40B4-BE49-F238E27FC236}">
              <a16:creationId xmlns:a16="http://schemas.microsoft.com/office/drawing/2014/main" id="{4A960F38-511F-4300-851D-92D91C1C8F9C}"/>
            </a:ext>
          </a:extLst>
        </xdr:cNvPr>
        <xdr:cNvPicPr>
          <a:picLocks noChangeAspect="1"/>
        </xdr:cNvPicPr>
      </xdr:nvPicPr>
      <xdr:blipFill>
        <a:blip xmlns:r="http://schemas.openxmlformats.org/officeDocument/2006/relationships" r:embed="rId1"/>
        <a:stretch>
          <a:fillRect/>
        </a:stretch>
      </xdr:blipFill>
      <xdr:spPr>
        <a:xfrm>
          <a:off x="0" y="0"/>
          <a:ext cx="6628571" cy="3390476"/>
        </a:xfrm>
        <a:prstGeom prst="rect">
          <a:avLst/>
        </a:prstGeom>
      </xdr:spPr>
    </xdr:pic>
    <xdr:clientData/>
  </xdr:twoCellAnchor>
  <xdr:twoCellAnchor>
    <xdr:from>
      <xdr:col>12</xdr:col>
      <xdr:colOff>0</xdr:colOff>
      <xdr:row>9</xdr:row>
      <xdr:rowOff>0</xdr:rowOff>
    </xdr:from>
    <xdr:to>
      <xdr:col>19</xdr:col>
      <xdr:colOff>0</xdr:colOff>
      <xdr:row>26</xdr:row>
      <xdr:rowOff>133350</xdr:rowOff>
    </xdr:to>
    <xdr:graphicFrame macro="">
      <xdr:nvGraphicFramePr>
        <xdr:cNvPr id="3" name="Chart 2">
          <a:extLst>
            <a:ext uri="{FF2B5EF4-FFF2-40B4-BE49-F238E27FC236}">
              <a16:creationId xmlns:a16="http://schemas.microsoft.com/office/drawing/2014/main" id="{0F185C9C-F358-4F8E-8CC4-9657A026B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500063</xdr:colOff>
      <xdr:row>15</xdr:row>
      <xdr:rowOff>38098</xdr:rowOff>
    </xdr:from>
    <xdr:to>
      <xdr:col>17</xdr:col>
      <xdr:colOff>414341</xdr:colOff>
      <xdr:row>15</xdr:row>
      <xdr:rowOff>38098</xdr:rowOff>
    </xdr:to>
    <xdr:cxnSp macro="">
      <xdr:nvCxnSpPr>
        <xdr:cNvPr id="8" name="Straight Arrow Connector 7">
          <a:extLst>
            <a:ext uri="{FF2B5EF4-FFF2-40B4-BE49-F238E27FC236}">
              <a16:creationId xmlns:a16="http://schemas.microsoft.com/office/drawing/2014/main" id="{3EB9F9DE-7E2A-45F1-8BD1-1F8AAE4673D4}"/>
            </a:ext>
          </a:extLst>
        </xdr:cNvPr>
        <xdr:cNvCxnSpPr/>
      </xdr:nvCxnSpPr>
      <xdr:spPr>
        <a:xfrm flipH="1">
          <a:off x="9148763" y="2252661"/>
          <a:ext cx="116205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c:userShapes xmlns:c="http://schemas.openxmlformats.org/drawingml/2006/chart">
  <cdr:relSizeAnchor xmlns:cdr="http://schemas.openxmlformats.org/drawingml/2006/chartDrawing">
    <cdr:from>
      <cdr:x>0.49188</cdr:x>
      <cdr:y>0.35836</cdr:y>
    </cdr:from>
    <cdr:to>
      <cdr:x>0.49188</cdr:x>
      <cdr:y>0.79181</cdr:y>
    </cdr:to>
    <cdr:cxnSp macro="">
      <cdr:nvCxnSpPr>
        <cdr:cNvPr id="3" name="Straight Arrow Connector 2">
          <a:extLst xmlns:a="http://schemas.openxmlformats.org/drawingml/2006/main">
            <a:ext uri="{FF2B5EF4-FFF2-40B4-BE49-F238E27FC236}">
              <a16:creationId xmlns:a16="http://schemas.microsoft.com/office/drawing/2014/main" id="{E1516B2E-24F6-4C2F-BD1F-E81626DE3145}"/>
            </a:ext>
          </a:extLst>
        </cdr:cNvPr>
        <cdr:cNvCxnSpPr/>
      </cdr:nvCxnSpPr>
      <cdr:spPr>
        <a:xfrm xmlns:a="http://schemas.openxmlformats.org/drawingml/2006/main">
          <a:off x="1876424" y="1000125"/>
          <a:ext cx="0" cy="120967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242082</xdr:colOff>
      <xdr:row>11</xdr:row>
      <xdr:rowOff>114057</xdr:rowOff>
    </xdr:to>
    <xdr:pic>
      <xdr:nvPicPr>
        <xdr:cNvPr id="2" name="Picture 1">
          <a:extLst>
            <a:ext uri="{FF2B5EF4-FFF2-40B4-BE49-F238E27FC236}">
              <a16:creationId xmlns:a16="http://schemas.microsoft.com/office/drawing/2014/main" id="{BD9FB0E2-2A00-433E-B2F6-65F82E93211D}"/>
            </a:ext>
          </a:extLst>
        </xdr:cNvPr>
        <xdr:cNvPicPr>
          <a:picLocks noChangeAspect="1"/>
        </xdr:cNvPicPr>
      </xdr:nvPicPr>
      <xdr:blipFill>
        <a:blip xmlns:r="http://schemas.openxmlformats.org/officeDocument/2006/relationships" r:embed="rId1"/>
        <a:stretch>
          <a:fillRect/>
        </a:stretch>
      </xdr:blipFill>
      <xdr:spPr>
        <a:xfrm>
          <a:off x="0" y="0"/>
          <a:ext cx="6057095" cy="1885707"/>
        </a:xfrm>
        <a:prstGeom prst="rect">
          <a:avLst/>
        </a:prstGeom>
      </xdr:spPr>
    </xdr:pic>
    <xdr:clientData/>
  </xdr:twoCellAnchor>
  <xdr:twoCellAnchor>
    <xdr:from>
      <xdr:col>5</xdr:col>
      <xdr:colOff>0</xdr:colOff>
      <xdr:row>20</xdr:row>
      <xdr:rowOff>0</xdr:rowOff>
    </xdr:from>
    <xdr:to>
      <xdr:col>11</xdr:col>
      <xdr:colOff>0</xdr:colOff>
      <xdr:row>36</xdr:row>
      <xdr:rowOff>0</xdr:rowOff>
    </xdr:to>
    <xdr:graphicFrame macro="">
      <xdr:nvGraphicFramePr>
        <xdr:cNvPr id="3" name="Chart 2">
          <a:extLst>
            <a:ext uri="{FF2B5EF4-FFF2-40B4-BE49-F238E27FC236}">
              <a16:creationId xmlns:a16="http://schemas.microsoft.com/office/drawing/2014/main" id="{BD97E1FF-58C7-41D9-9660-4C5280D54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123025</xdr:colOff>
      <xdr:row>12</xdr:row>
      <xdr:rowOff>152114</xdr:rowOff>
    </xdr:to>
    <xdr:pic>
      <xdr:nvPicPr>
        <xdr:cNvPr id="2" name="Picture 1">
          <a:extLst>
            <a:ext uri="{FF2B5EF4-FFF2-40B4-BE49-F238E27FC236}">
              <a16:creationId xmlns:a16="http://schemas.microsoft.com/office/drawing/2014/main" id="{88C04469-DC32-4A02-BD93-605DBC54EE6A}"/>
            </a:ext>
          </a:extLst>
        </xdr:cNvPr>
        <xdr:cNvPicPr>
          <a:picLocks noChangeAspect="1"/>
        </xdr:cNvPicPr>
      </xdr:nvPicPr>
      <xdr:blipFill>
        <a:blip xmlns:r="http://schemas.openxmlformats.org/officeDocument/2006/relationships" r:embed="rId1"/>
        <a:stretch>
          <a:fillRect/>
        </a:stretch>
      </xdr:blipFill>
      <xdr:spPr>
        <a:xfrm>
          <a:off x="0" y="0"/>
          <a:ext cx="6400000" cy="2285714"/>
        </a:xfrm>
        <a:prstGeom prst="rect">
          <a:avLst/>
        </a:prstGeom>
      </xdr:spPr>
    </xdr:pic>
    <xdr:clientData/>
  </xdr:twoCellAnchor>
  <xdr:twoCellAnchor>
    <xdr:from>
      <xdr:col>6</xdr:col>
      <xdr:colOff>209549</xdr:colOff>
      <xdr:row>18</xdr:row>
      <xdr:rowOff>0</xdr:rowOff>
    </xdr:from>
    <xdr:to>
      <xdr:col>18</xdr:col>
      <xdr:colOff>0</xdr:colOff>
      <xdr:row>36</xdr:row>
      <xdr:rowOff>0</xdr:rowOff>
    </xdr:to>
    <xdr:graphicFrame macro="">
      <xdr:nvGraphicFramePr>
        <xdr:cNvPr id="3" name="Chart 2">
          <a:extLst>
            <a:ext uri="{FF2B5EF4-FFF2-40B4-BE49-F238E27FC236}">
              <a16:creationId xmlns:a16="http://schemas.microsoft.com/office/drawing/2014/main" id="{7CE77A8A-DD2D-4A4B-A289-74D288528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465924</xdr:colOff>
      <xdr:row>14</xdr:row>
      <xdr:rowOff>85409</xdr:rowOff>
    </xdr:to>
    <xdr:pic>
      <xdr:nvPicPr>
        <xdr:cNvPr id="2" name="Picture 1">
          <a:extLst>
            <a:ext uri="{FF2B5EF4-FFF2-40B4-BE49-F238E27FC236}">
              <a16:creationId xmlns:a16="http://schemas.microsoft.com/office/drawing/2014/main" id="{707257F2-61EA-430D-9E60-39E888BDBC73}"/>
            </a:ext>
          </a:extLst>
        </xdr:cNvPr>
        <xdr:cNvPicPr>
          <a:picLocks noChangeAspect="1"/>
        </xdr:cNvPicPr>
      </xdr:nvPicPr>
      <xdr:blipFill>
        <a:blip xmlns:r="http://schemas.openxmlformats.org/officeDocument/2006/relationships" r:embed="rId1"/>
        <a:stretch>
          <a:fillRect/>
        </a:stretch>
      </xdr:blipFill>
      <xdr:spPr>
        <a:xfrm>
          <a:off x="0" y="0"/>
          <a:ext cx="6409524" cy="2523809"/>
        </a:xfrm>
        <a:prstGeom prst="rect">
          <a:avLst/>
        </a:prstGeom>
      </xdr:spPr>
    </xdr:pic>
    <xdr:clientData/>
  </xdr:twoCellAnchor>
  <xdr:twoCellAnchor>
    <xdr:from>
      <xdr:col>7</xdr:col>
      <xdr:colOff>0</xdr:colOff>
      <xdr:row>18</xdr:row>
      <xdr:rowOff>0</xdr:rowOff>
    </xdr:from>
    <xdr:to>
      <xdr:col>13</xdr:col>
      <xdr:colOff>1123950</xdr:colOff>
      <xdr:row>36</xdr:row>
      <xdr:rowOff>0</xdr:rowOff>
    </xdr:to>
    <xdr:graphicFrame macro="">
      <xdr:nvGraphicFramePr>
        <xdr:cNvPr id="3" name="Chart 2">
          <a:extLst>
            <a:ext uri="{FF2B5EF4-FFF2-40B4-BE49-F238E27FC236}">
              <a16:creationId xmlns:a16="http://schemas.microsoft.com/office/drawing/2014/main" id="{54802C3F-E5B8-4B56-A0ED-7BA24C957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237313</xdr:colOff>
      <xdr:row>27</xdr:row>
      <xdr:rowOff>37581</xdr:rowOff>
    </xdr:to>
    <xdr:pic>
      <xdr:nvPicPr>
        <xdr:cNvPr id="2" name="Picture 1">
          <a:extLst>
            <a:ext uri="{FF2B5EF4-FFF2-40B4-BE49-F238E27FC236}">
              <a16:creationId xmlns:a16="http://schemas.microsoft.com/office/drawing/2014/main" id="{D74C4266-B62C-4706-873A-D6627901B9D1}"/>
            </a:ext>
          </a:extLst>
        </xdr:cNvPr>
        <xdr:cNvPicPr>
          <a:picLocks noChangeAspect="1"/>
        </xdr:cNvPicPr>
      </xdr:nvPicPr>
      <xdr:blipFill>
        <a:blip xmlns:r="http://schemas.openxmlformats.org/officeDocument/2006/relationships" r:embed="rId1"/>
        <a:stretch>
          <a:fillRect/>
        </a:stretch>
      </xdr:blipFill>
      <xdr:spPr>
        <a:xfrm>
          <a:off x="0" y="0"/>
          <a:ext cx="6495238" cy="4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237486</xdr:colOff>
      <xdr:row>9</xdr:row>
      <xdr:rowOff>9352</xdr:rowOff>
    </xdr:to>
    <xdr:pic>
      <xdr:nvPicPr>
        <xdr:cNvPr id="2" name="Picture 1">
          <a:extLst>
            <a:ext uri="{FF2B5EF4-FFF2-40B4-BE49-F238E27FC236}">
              <a16:creationId xmlns:a16="http://schemas.microsoft.com/office/drawing/2014/main" id="{974D0D48-7245-4EFE-A4C1-4C61D2397F36}"/>
            </a:ext>
          </a:extLst>
        </xdr:cNvPr>
        <xdr:cNvPicPr>
          <a:picLocks noChangeAspect="1"/>
        </xdr:cNvPicPr>
      </xdr:nvPicPr>
      <xdr:blipFill>
        <a:blip xmlns:r="http://schemas.openxmlformats.org/officeDocument/2006/relationships" r:embed="rId1"/>
        <a:stretch>
          <a:fillRect/>
        </a:stretch>
      </xdr:blipFill>
      <xdr:spPr>
        <a:xfrm>
          <a:off x="0" y="0"/>
          <a:ext cx="5114286" cy="1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351238</xdr:colOff>
      <xdr:row>6</xdr:row>
      <xdr:rowOff>57029</xdr:rowOff>
    </xdr:to>
    <xdr:pic>
      <xdr:nvPicPr>
        <xdr:cNvPr id="2" name="Picture 1">
          <a:extLst>
            <a:ext uri="{FF2B5EF4-FFF2-40B4-BE49-F238E27FC236}">
              <a16:creationId xmlns:a16="http://schemas.microsoft.com/office/drawing/2014/main" id="{43E6AC43-264A-4DFB-BE10-79CA7FBA562F}"/>
            </a:ext>
          </a:extLst>
        </xdr:cNvPr>
        <xdr:cNvPicPr>
          <a:picLocks noChangeAspect="1"/>
        </xdr:cNvPicPr>
      </xdr:nvPicPr>
      <xdr:blipFill>
        <a:blip xmlns:r="http://schemas.openxmlformats.org/officeDocument/2006/relationships" r:embed="rId1"/>
        <a:stretch>
          <a:fillRect/>
        </a:stretch>
      </xdr:blipFill>
      <xdr:spPr>
        <a:xfrm>
          <a:off x="0" y="0"/>
          <a:ext cx="9495238" cy="9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370286</xdr:colOff>
      <xdr:row>4</xdr:row>
      <xdr:rowOff>95162</xdr:rowOff>
    </xdr:to>
    <xdr:pic>
      <xdr:nvPicPr>
        <xdr:cNvPr id="2" name="Picture 1">
          <a:extLst>
            <a:ext uri="{FF2B5EF4-FFF2-40B4-BE49-F238E27FC236}">
              <a16:creationId xmlns:a16="http://schemas.microsoft.com/office/drawing/2014/main" id="{FAA5DA6E-9F2C-4915-B339-8C09D37FCD10}"/>
            </a:ext>
          </a:extLst>
        </xdr:cNvPr>
        <xdr:cNvPicPr>
          <a:picLocks noChangeAspect="1"/>
        </xdr:cNvPicPr>
      </xdr:nvPicPr>
      <xdr:blipFill>
        <a:blip xmlns:r="http://schemas.openxmlformats.org/officeDocument/2006/relationships" r:embed="rId1"/>
        <a:stretch>
          <a:fillRect/>
        </a:stretch>
      </xdr:blipFill>
      <xdr:spPr>
        <a:xfrm>
          <a:off x="0" y="0"/>
          <a:ext cx="9514286" cy="7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419100</xdr:colOff>
      <xdr:row>20</xdr:row>
      <xdr:rowOff>141716</xdr:rowOff>
    </xdr:to>
    <xdr:pic>
      <xdr:nvPicPr>
        <xdr:cNvPr id="2" name="Picture 1">
          <a:extLst>
            <a:ext uri="{FF2B5EF4-FFF2-40B4-BE49-F238E27FC236}">
              <a16:creationId xmlns:a16="http://schemas.microsoft.com/office/drawing/2014/main" id="{87CEC959-8B42-4711-B49C-382972090833}"/>
            </a:ext>
          </a:extLst>
        </xdr:cNvPr>
        <xdr:cNvPicPr>
          <a:picLocks noChangeAspect="1"/>
        </xdr:cNvPicPr>
      </xdr:nvPicPr>
      <xdr:blipFill>
        <a:blip xmlns:r="http://schemas.openxmlformats.org/officeDocument/2006/relationships" r:embed="rId1"/>
        <a:stretch>
          <a:fillRect/>
        </a:stretch>
      </xdr:blipFill>
      <xdr:spPr>
        <a:xfrm>
          <a:off x="1" y="1"/>
          <a:ext cx="5676899" cy="31897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227407</xdr:colOff>
      <xdr:row>15</xdr:row>
      <xdr:rowOff>123486</xdr:rowOff>
    </xdr:to>
    <xdr:pic>
      <xdr:nvPicPr>
        <xdr:cNvPr id="2" name="Picture 1">
          <a:extLst>
            <a:ext uri="{FF2B5EF4-FFF2-40B4-BE49-F238E27FC236}">
              <a16:creationId xmlns:a16="http://schemas.microsoft.com/office/drawing/2014/main" id="{94E447F9-AA46-4AC5-9312-6EB7E6B85953}"/>
            </a:ext>
          </a:extLst>
        </xdr:cNvPr>
        <xdr:cNvPicPr>
          <a:picLocks noChangeAspect="1"/>
        </xdr:cNvPicPr>
      </xdr:nvPicPr>
      <xdr:blipFill>
        <a:blip xmlns:r="http://schemas.openxmlformats.org/officeDocument/2006/relationships" r:embed="rId1"/>
        <a:stretch>
          <a:fillRect/>
        </a:stretch>
      </xdr:blipFill>
      <xdr:spPr>
        <a:xfrm>
          <a:off x="0" y="0"/>
          <a:ext cx="9542857" cy="2714286"/>
        </a:xfrm>
        <a:prstGeom prst="rect">
          <a:avLst/>
        </a:prstGeom>
      </xdr:spPr>
    </xdr:pic>
    <xdr:clientData/>
  </xdr:twoCellAnchor>
  <xdr:twoCellAnchor>
    <xdr:from>
      <xdr:col>1</xdr:col>
      <xdr:colOff>0</xdr:colOff>
      <xdr:row>59</xdr:row>
      <xdr:rowOff>0</xdr:rowOff>
    </xdr:from>
    <xdr:to>
      <xdr:col>6</xdr:col>
      <xdr:colOff>0</xdr:colOff>
      <xdr:row>85</xdr:row>
      <xdr:rowOff>0</xdr:rowOff>
    </xdr:to>
    <xdr:graphicFrame macro="">
      <xdr:nvGraphicFramePr>
        <xdr:cNvPr id="3" name="Chart 2">
          <a:extLst>
            <a:ext uri="{FF2B5EF4-FFF2-40B4-BE49-F238E27FC236}">
              <a16:creationId xmlns:a16="http://schemas.microsoft.com/office/drawing/2014/main" id="{08F0F998-16CC-4788-8976-03B988EC5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59</xdr:row>
      <xdr:rowOff>0</xdr:rowOff>
    </xdr:from>
    <xdr:to>
      <xdr:col>14</xdr:col>
      <xdr:colOff>0</xdr:colOff>
      <xdr:row>85</xdr:row>
      <xdr:rowOff>0</xdr:rowOff>
    </xdr:to>
    <xdr:graphicFrame macro="">
      <xdr:nvGraphicFramePr>
        <xdr:cNvPr id="6" name="Chart 5">
          <a:extLst>
            <a:ext uri="{FF2B5EF4-FFF2-40B4-BE49-F238E27FC236}">
              <a16:creationId xmlns:a16="http://schemas.microsoft.com/office/drawing/2014/main" id="{3A826834-747C-4901-A4FA-C6A435C2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161101</xdr:colOff>
      <xdr:row>20</xdr:row>
      <xdr:rowOff>94857</xdr:rowOff>
    </xdr:to>
    <xdr:pic>
      <xdr:nvPicPr>
        <xdr:cNvPr id="2" name="Picture 1">
          <a:extLst>
            <a:ext uri="{FF2B5EF4-FFF2-40B4-BE49-F238E27FC236}">
              <a16:creationId xmlns:a16="http://schemas.microsoft.com/office/drawing/2014/main" id="{5E8B2E33-75D9-4D2A-BFC9-51C5FC27AEF6}"/>
            </a:ext>
          </a:extLst>
        </xdr:cNvPr>
        <xdr:cNvPicPr>
          <a:picLocks noChangeAspect="1"/>
        </xdr:cNvPicPr>
      </xdr:nvPicPr>
      <xdr:blipFill>
        <a:blip xmlns:r="http://schemas.openxmlformats.org/officeDocument/2006/relationships" r:embed="rId1"/>
        <a:stretch>
          <a:fillRect/>
        </a:stretch>
      </xdr:blipFill>
      <xdr:spPr>
        <a:xfrm>
          <a:off x="0" y="0"/>
          <a:ext cx="6590476" cy="3142857"/>
        </a:xfrm>
        <a:prstGeom prst="rect">
          <a:avLst/>
        </a:prstGeom>
      </xdr:spPr>
    </xdr:pic>
    <xdr:clientData/>
  </xdr:twoCellAnchor>
  <xdr:twoCellAnchor>
    <xdr:from>
      <xdr:col>1</xdr:col>
      <xdr:colOff>0</xdr:colOff>
      <xdr:row>22</xdr:row>
      <xdr:rowOff>0</xdr:rowOff>
    </xdr:from>
    <xdr:to>
      <xdr:col>8</xdr:col>
      <xdr:colOff>0</xdr:colOff>
      <xdr:row>34</xdr:row>
      <xdr:rowOff>0</xdr:rowOff>
    </xdr:to>
    <xdr:graphicFrame macro="">
      <xdr:nvGraphicFramePr>
        <xdr:cNvPr id="3" name="Chart 2">
          <a:extLst>
            <a:ext uri="{FF2B5EF4-FFF2-40B4-BE49-F238E27FC236}">
              <a16:creationId xmlns:a16="http://schemas.microsoft.com/office/drawing/2014/main" id="{8F7A53D5-7F61-464C-9230-A299967F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34</xdr:row>
      <xdr:rowOff>0</xdr:rowOff>
    </xdr:from>
    <xdr:to>
      <xdr:col>6</xdr:col>
      <xdr:colOff>0</xdr:colOff>
      <xdr:row>50</xdr:row>
      <xdr:rowOff>0</xdr:rowOff>
    </xdr:to>
    <xdr:graphicFrame macro="">
      <xdr:nvGraphicFramePr>
        <xdr:cNvPr id="4" name="Chart 3">
          <a:extLst>
            <a:ext uri="{FF2B5EF4-FFF2-40B4-BE49-F238E27FC236}">
              <a16:creationId xmlns:a16="http://schemas.microsoft.com/office/drawing/2014/main" id="{733563F3-0A69-40B0-94B9-9C29DD8A3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151570</xdr:colOff>
      <xdr:row>11</xdr:row>
      <xdr:rowOff>104514</xdr:rowOff>
    </xdr:to>
    <xdr:pic>
      <xdr:nvPicPr>
        <xdr:cNvPr id="2" name="Picture 1">
          <a:extLst>
            <a:ext uri="{FF2B5EF4-FFF2-40B4-BE49-F238E27FC236}">
              <a16:creationId xmlns:a16="http://schemas.microsoft.com/office/drawing/2014/main" id="{F2F96B9D-68F6-4777-AC2E-520969EC15A9}"/>
            </a:ext>
          </a:extLst>
        </xdr:cNvPr>
        <xdr:cNvPicPr>
          <a:picLocks noChangeAspect="1"/>
        </xdr:cNvPicPr>
      </xdr:nvPicPr>
      <xdr:blipFill>
        <a:blip xmlns:r="http://schemas.openxmlformats.org/officeDocument/2006/relationships" r:embed="rId1"/>
        <a:stretch>
          <a:fillRect/>
        </a:stretch>
      </xdr:blipFill>
      <xdr:spPr>
        <a:xfrm>
          <a:off x="0" y="0"/>
          <a:ext cx="6223758" cy="2023802"/>
        </a:xfrm>
        <a:prstGeom prst="rect">
          <a:avLst/>
        </a:prstGeom>
      </xdr:spPr>
    </xdr:pic>
    <xdr:clientData/>
  </xdr:twoCellAnchor>
  <xdr:twoCellAnchor>
    <xdr:from>
      <xdr:col>11</xdr:col>
      <xdr:colOff>0</xdr:colOff>
      <xdr:row>9</xdr:row>
      <xdr:rowOff>0</xdr:rowOff>
    </xdr:from>
    <xdr:to>
      <xdr:col>20</xdr:col>
      <xdr:colOff>0</xdr:colOff>
      <xdr:row>26</xdr:row>
      <xdr:rowOff>66675</xdr:rowOff>
    </xdr:to>
    <xdr:graphicFrame macro="">
      <xdr:nvGraphicFramePr>
        <xdr:cNvPr id="3" name="Chart 2">
          <a:extLst>
            <a:ext uri="{FF2B5EF4-FFF2-40B4-BE49-F238E27FC236}">
              <a16:creationId xmlns:a16="http://schemas.microsoft.com/office/drawing/2014/main" id="{860E6531-6A71-4BEA-9B79-53E95C048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331952</xdr:colOff>
      <xdr:row>13</xdr:row>
      <xdr:rowOff>142610</xdr:rowOff>
    </xdr:to>
    <xdr:pic>
      <xdr:nvPicPr>
        <xdr:cNvPr id="2" name="Picture 1">
          <a:extLst>
            <a:ext uri="{FF2B5EF4-FFF2-40B4-BE49-F238E27FC236}">
              <a16:creationId xmlns:a16="http://schemas.microsoft.com/office/drawing/2014/main" id="{21C1E12E-BAC6-4DDE-AE36-126D4C30D9F8}"/>
            </a:ext>
          </a:extLst>
        </xdr:cNvPr>
        <xdr:cNvPicPr>
          <a:picLocks noChangeAspect="1"/>
        </xdr:cNvPicPr>
      </xdr:nvPicPr>
      <xdr:blipFill>
        <a:blip xmlns:r="http://schemas.openxmlformats.org/officeDocument/2006/relationships" r:embed="rId1"/>
        <a:stretch>
          <a:fillRect/>
        </a:stretch>
      </xdr:blipFill>
      <xdr:spPr>
        <a:xfrm>
          <a:off x="0" y="0"/>
          <a:ext cx="6238048" cy="206189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64D166-944C-4E76-8BBF-017215195072}" name="tDailyProduction" displayName="tDailyProduction" ref="A15:B31" totalsRowShown="0" dataDxfId="6">
  <autoFilter ref="A15:B31" xr:uid="{5515E9C6-C14B-4BF6-8ACD-5889F995B8AE}">
    <filterColumn colId="0" hiddenButton="1"/>
    <filterColumn colId="1" hiddenButton="1"/>
  </autoFilter>
  <tableColumns count="2">
    <tableColumn id="1" xr3:uid="{3AD6A841-1F85-4B77-8EB7-C80D4E009583}" name="Day" dataDxfId="5"/>
    <tableColumn id="2" xr3:uid="{BA6ED013-E6F8-42E2-B3BD-A4857B8D07B6}" name="Units produced"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A33E02-91C1-4DE5-860F-BA7A650E3084}" name="tCustVisit" displayName="tCustVisit" ref="A16:B67" totalsRowShown="0">
  <autoFilter ref="A16:B67" xr:uid="{3556FD1A-62F8-4DAC-BDE2-928ABA76E927}"/>
  <tableColumns count="2">
    <tableColumn id="1" xr3:uid="{89EE13E0-E0BD-4D2A-8C5E-BA43FA0D40A6}" name="Customer #"/>
    <tableColumn id="2" xr3:uid="{41BCAE0A-0137-4C88-91E8-353A17291F9A}" name="Vis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022C10-4839-4FC2-9ECC-8AA60E0A4002}" name="tCommutes" displayName="tCommutes" ref="L1:M26" totalsRowShown="0" headerRowDxfId="3" dataDxfId="2">
  <autoFilter ref="L1:M26" xr:uid="{AC5B6A21-1B5E-4818-8A8A-F7EEBB1CC544}"/>
  <tableColumns count="2">
    <tableColumn id="1" xr3:uid="{DDF3840D-8C96-4154-8409-B9B2F4D96C97}" name="Observation" dataDxfId="1"/>
    <tableColumn id="2" xr3:uid="{2F923FCD-B8B7-4F62-B943-70740BC6AED3}" name="Commute Time (mi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92787-C068-493B-87D0-1668FCC8FB42}" name="tSongPlays" displayName="tSongPlays" ref="A16:B61" totalsRowShown="0">
  <autoFilter ref="A16:B61" xr:uid="{0A63073C-A996-408F-9966-3A1C7D65AC74}"/>
  <tableColumns count="2">
    <tableColumn id="1" xr3:uid="{DDD81369-0CB2-423E-A28A-E42551E95AAB}" name="observation"/>
    <tableColumn id="2" xr3:uid="{77151F38-3D4B-4C27-A700-10B6854A8481}" name="song_play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AF3DF4-42C8-405D-A092-8F9EBB1B43AD}" name="tSkiPurch" displayName="tSkiPurch" ref="A18:B62" totalsRowShown="0">
  <autoFilter ref="A18:B62" xr:uid="{44162FF4-8EC2-4EAC-824E-13899BCA8606}"/>
  <tableColumns count="2">
    <tableColumn id="1" xr3:uid="{83213FFB-A208-48DF-9575-1645AEE01B77}" name="Transaction"/>
    <tableColumn id="2" xr3:uid="{3B59B360-A2B1-4C87-A907-7ABFD8EA454A}" name="Purchased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97CC4-CC83-4D3A-9A54-C60B3E088413}">
  <dimension ref="A1"/>
  <sheetViews>
    <sheetView tabSelected="1" workbookViewId="0">
      <selection activeCell="K1" sqref="K1"/>
    </sheetView>
  </sheetViews>
  <sheetFormatPr defaultRowHeight="12"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6B9F-0348-488E-BBFD-1E75A97518C9}">
  <dimension ref="A1:P39"/>
  <sheetViews>
    <sheetView workbookViewId="0">
      <selection activeCell="I1" sqref="I1:Q41"/>
    </sheetView>
  </sheetViews>
  <sheetFormatPr defaultRowHeight="12" x14ac:dyDescent="0.2"/>
  <cols>
    <col min="3" max="3" width="15.140625" customWidth="1"/>
    <col min="5" max="5" width="13.85546875" customWidth="1"/>
    <col min="6" max="6" width="11.42578125" customWidth="1"/>
    <col min="9" max="9" width="6.28515625" bestFit="1" customWidth="1"/>
    <col min="10" max="10" width="15.85546875" customWidth="1"/>
    <col min="11" max="11" width="14.28515625" customWidth="1"/>
    <col min="12" max="12" width="14.42578125" customWidth="1"/>
    <col min="13" max="13" width="13.28515625" customWidth="1"/>
    <col min="14" max="14" width="14.42578125" customWidth="1"/>
  </cols>
  <sheetData>
    <row r="1" spans="9:10" x14ac:dyDescent="0.2">
      <c r="I1" s="33" t="s">
        <v>72</v>
      </c>
      <c r="J1" s="36">
        <f>E29</f>
        <v>50</v>
      </c>
    </row>
    <row r="2" spans="9:10" x14ac:dyDescent="0.2">
      <c r="I2" s="33" t="s">
        <v>77</v>
      </c>
      <c r="J2" s="36" t="str">
        <f>AVERAGE(A24:B24)*B33&amp;" mi"</f>
        <v>1500 mi</v>
      </c>
    </row>
    <row r="3" spans="9:10" x14ac:dyDescent="0.2">
      <c r="I3" s="33" t="s">
        <v>83</v>
      </c>
      <c r="J3" s="36"/>
    </row>
    <row r="19" spans="1:13" x14ac:dyDescent="0.2">
      <c r="I19" s="33" t="s">
        <v>89</v>
      </c>
      <c r="J19" t="str">
        <f>"("&amp;D24&amp;", "&amp;E24&amp;")"</f>
        <v>(1.5, 5)</v>
      </c>
      <c r="K19" s="36"/>
    </row>
    <row r="20" spans="1:13" x14ac:dyDescent="0.2">
      <c r="K20" s="36"/>
    </row>
    <row r="21" spans="1:13" x14ac:dyDescent="0.2">
      <c r="I21" s="33" t="s">
        <v>92</v>
      </c>
      <c r="J21" s="44"/>
      <c r="K21" s="45"/>
      <c r="L21" s="44"/>
      <c r="M21" s="34"/>
    </row>
    <row r="22" spans="1:13" x14ac:dyDescent="0.2">
      <c r="J22" s="43"/>
      <c r="K22" s="46"/>
      <c r="L22" s="43"/>
      <c r="M22" s="28"/>
    </row>
    <row r="23" spans="1:13" ht="24" x14ac:dyDescent="0.2">
      <c r="A23" s="31" t="s">
        <v>98</v>
      </c>
      <c r="B23" s="31" t="s">
        <v>99</v>
      </c>
      <c r="C23" s="34" t="s">
        <v>103</v>
      </c>
      <c r="D23" s="34" t="s">
        <v>106</v>
      </c>
      <c r="E23" s="34" t="s">
        <v>104</v>
      </c>
      <c r="F23" s="34" t="s">
        <v>90</v>
      </c>
      <c r="J23" s="43"/>
      <c r="K23" s="46"/>
      <c r="L23" s="43"/>
      <c r="M23" s="28"/>
    </row>
    <row r="24" spans="1:13" x14ac:dyDescent="0.2">
      <c r="A24" s="28">
        <v>0</v>
      </c>
      <c r="B24" s="28">
        <f>A24+$B$32</f>
        <v>3</v>
      </c>
      <c r="C24" s="28" t="str">
        <f>A24&amp;" up to "&amp;B24</f>
        <v>0 up to 3</v>
      </c>
      <c r="D24" s="28">
        <f>AVERAGE(A24:B24)</f>
        <v>1.5</v>
      </c>
      <c r="E24" s="28">
        <v>5</v>
      </c>
      <c r="F24" s="35">
        <f t="shared" ref="F24:F29" si="0">E24/$E$29*100</f>
        <v>10</v>
      </c>
      <c r="J24" s="43"/>
      <c r="K24" s="46"/>
      <c r="L24" s="43"/>
      <c r="M24" s="28"/>
    </row>
    <row r="25" spans="1:13" x14ac:dyDescent="0.2">
      <c r="A25" s="28">
        <f>B24</f>
        <v>3</v>
      </c>
      <c r="B25" s="28">
        <f>A25+$B$32</f>
        <v>6</v>
      </c>
      <c r="C25" s="28" t="str">
        <f>A25&amp;" up to "&amp;B25</f>
        <v>3 up to 6</v>
      </c>
      <c r="D25" s="28">
        <f>AVERAGE(A25:B25)</f>
        <v>4.5</v>
      </c>
      <c r="E25" s="28">
        <v>12</v>
      </c>
      <c r="F25" s="35">
        <f t="shared" si="0"/>
        <v>24</v>
      </c>
      <c r="J25" s="43"/>
      <c r="K25" s="46"/>
      <c r="L25" s="43"/>
      <c r="M25" s="28"/>
    </row>
    <row r="26" spans="1:13" x14ac:dyDescent="0.2">
      <c r="A26" s="28">
        <f t="shared" ref="A26:A28" si="1">B25</f>
        <v>6</v>
      </c>
      <c r="B26" s="28">
        <f>A26+$B$32</f>
        <v>9</v>
      </c>
      <c r="C26" s="28" t="str">
        <f>A26&amp;" up to "&amp;B26</f>
        <v>6 up to 9</v>
      </c>
      <c r="D26" s="28">
        <f>AVERAGE(A26:B26)</f>
        <v>7.5</v>
      </c>
      <c r="E26" s="28">
        <v>23</v>
      </c>
      <c r="F26" s="35">
        <f t="shared" si="0"/>
        <v>46</v>
      </c>
      <c r="J26" s="43"/>
      <c r="K26" s="46"/>
      <c r="L26" s="43"/>
      <c r="M26" s="43"/>
    </row>
    <row r="27" spans="1:13" x14ac:dyDescent="0.2">
      <c r="A27" s="28">
        <f t="shared" si="1"/>
        <v>9</v>
      </c>
      <c r="B27" s="28">
        <f>A27+$B$32</f>
        <v>12</v>
      </c>
      <c r="C27" s="28" t="str">
        <f>A27&amp;" up to "&amp;B27</f>
        <v>9 up to 12</v>
      </c>
      <c r="D27" s="28">
        <f>AVERAGE(A27:B27)</f>
        <v>10.5</v>
      </c>
      <c r="E27" s="28">
        <v>8</v>
      </c>
      <c r="F27" s="35">
        <f t="shared" si="0"/>
        <v>16</v>
      </c>
      <c r="J27" s="45"/>
      <c r="K27" s="46"/>
      <c r="L27" s="45"/>
      <c r="M27" s="31"/>
    </row>
    <row r="28" spans="1:13" x14ac:dyDescent="0.2">
      <c r="A28" s="28">
        <f t="shared" si="1"/>
        <v>12</v>
      </c>
      <c r="B28" s="28">
        <f>A28+$B$32</f>
        <v>15</v>
      </c>
      <c r="C28" s="37" t="str">
        <f>A28&amp;" up to "&amp;B28</f>
        <v>12 up to 15</v>
      </c>
      <c r="D28" s="37">
        <f>AVERAGE(A28:B28)</f>
        <v>13.5</v>
      </c>
      <c r="E28" s="37">
        <v>2</v>
      </c>
      <c r="F28" s="35">
        <f t="shared" si="0"/>
        <v>4</v>
      </c>
    </row>
    <row r="29" spans="1:13" x14ac:dyDescent="0.2">
      <c r="C29" s="31" t="s">
        <v>100</v>
      </c>
      <c r="D29" s="31"/>
      <c r="E29" s="31">
        <f>SUM(E24:E28)</f>
        <v>50</v>
      </c>
      <c r="F29" s="35">
        <f t="shared" si="0"/>
        <v>100</v>
      </c>
    </row>
    <row r="31" spans="1:13" x14ac:dyDescent="0.2">
      <c r="A31" s="28" t="s">
        <v>70</v>
      </c>
      <c r="B31" s="28">
        <v>5</v>
      </c>
    </row>
    <row r="32" spans="1:13" x14ac:dyDescent="0.2">
      <c r="A32" s="28" t="s">
        <v>76</v>
      </c>
      <c r="B32" s="28">
        <v>3</v>
      </c>
    </row>
    <row r="33" spans="1:16" x14ac:dyDescent="0.2">
      <c r="A33" s="28" t="s">
        <v>105</v>
      </c>
      <c r="B33" s="28">
        <v>1000</v>
      </c>
    </row>
    <row r="37" spans="1:16" ht="11.65" customHeight="1" x14ac:dyDescent="0.2">
      <c r="I37" s="33" t="s">
        <v>107</v>
      </c>
      <c r="J37" s="84" t="s">
        <v>108</v>
      </c>
      <c r="K37" s="84"/>
      <c r="L37" s="84"/>
      <c r="M37" s="84"/>
      <c r="N37" s="84"/>
      <c r="O37" s="84"/>
      <c r="P37" s="84"/>
    </row>
    <row r="38" spans="1:16" x14ac:dyDescent="0.2">
      <c r="J38" s="84"/>
      <c r="K38" s="84"/>
      <c r="L38" s="84"/>
      <c r="M38" s="84"/>
      <c r="N38" s="84"/>
      <c r="O38" s="84"/>
      <c r="P38" s="84"/>
    </row>
    <row r="39" spans="1:16" x14ac:dyDescent="0.2">
      <c r="J39" s="84"/>
      <c r="K39" s="84"/>
      <c r="L39" s="84"/>
      <c r="M39" s="84"/>
      <c r="N39" s="84"/>
      <c r="O39" s="84"/>
      <c r="P39" s="84"/>
    </row>
  </sheetData>
  <mergeCells count="1">
    <mergeCell ref="J37:P3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DDE-B262-4F34-8E35-2F6493D69019}">
  <dimension ref="A2:P34"/>
  <sheetViews>
    <sheetView workbookViewId="0">
      <selection activeCell="L2" sqref="L2:T30"/>
    </sheetView>
  </sheetViews>
  <sheetFormatPr defaultRowHeight="12" x14ac:dyDescent="0.2"/>
  <cols>
    <col min="1" max="1" width="6.28515625" bestFit="1" customWidth="1"/>
    <col min="2" max="2" width="6.140625" bestFit="1" customWidth="1"/>
    <col min="3" max="3" width="15.140625" customWidth="1"/>
    <col min="5" max="6" width="12.28515625" customWidth="1"/>
    <col min="12" max="12" width="2.42578125" bestFit="1" customWidth="1"/>
    <col min="13" max="13" width="10.85546875" bestFit="1" customWidth="1"/>
    <col min="14" max="14" width="2.85546875" bestFit="1" customWidth="1"/>
    <col min="16" max="16" width="10.85546875" bestFit="1" customWidth="1"/>
  </cols>
  <sheetData>
    <row r="2" spans="12:16" x14ac:dyDescent="0.2">
      <c r="L2" s="33" t="s">
        <v>72</v>
      </c>
      <c r="M2" s="36">
        <v>5</v>
      </c>
      <c r="N2" s="36"/>
    </row>
    <row r="3" spans="12:16" x14ac:dyDescent="0.2">
      <c r="L3" s="33" t="s">
        <v>77</v>
      </c>
      <c r="M3" s="87" t="s">
        <v>109</v>
      </c>
      <c r="N3" s="87"/>
      <c r="O3" s="47" t="s">
        <v>110</v>
      </c>
      <c r="P3" s="47" t="s">
        <v>111</v>
      </c>
    </row>
    <row r="4" spans="12:16" x14ac:dyDescent="0.2">
      <c r="L4" s="27"/>
      <c r="N4" s="28">
        <v>0</v>
      </c>
      <c r="O4" s="28">
        <v>0</v>
      </c>
      <c r="P4" s="48">
        <f t="shared" ref="P4:P9" si="0">O4/$E$30</f>
        <v>0</v>
      </c>
    </row>
    <row r="5" spans="12:16" x14ac:dyDescent="0.2">
      <c r="L5" s="27"/>
      <c r="M5" s="32" t="str">
        <f>"less than "</f>
        <v xml:space="preserve">less than </v>
      </c>
      <c r="N5" s="28">
        <f>B25</f>
        <v>3</v>
      </c>
      <c r="O5" s="28">
        <f>SUMIFS($E$25:$E$29,$B$25:$B$29,"&lt;="&amp;B25)</f>
        <v>5</v>
      </c>
      <c r="P5" s="48">
        <f t="shared" si="0"/>
        <v>0.1</v>
      </c>
    </row>
    <row r="6" spans="12:16" x14ac:dyDescent="0.2">
      <c r="L6" s="27"/>
      <c r="M6" s="32" t="str">
        <f t="shared" ref="M6:M9" si="1">"less than "</f>
        <v xml:space="preserve">less than </v>
      </c>
      <c r="N6" s="28">
        <f>B26</f>
        <v>6</v>
      </c>
      <c r="O6" s="28">
        <f>SUMIFS($E$25:$E$29,$B$25:$B$29,"&lt;="&amp;B26)</f>
        <v>17</v>
      </c>
      <c r="P6" s="48">
        <f t="shared" si="0"/>
        <v>0.34</v>
      </c>
    </row>
    <row r="7" spans="12:16" x14ac:dyDescent="0.2">
      <c r="L7" s="27"/>
      <c r="M7" s="32" t="str">
        <f t="shared" si="1"/>
        <v xml:space="preserve">less than </v>
      </c>
      <c r="N7" s="28">
        <f>B27</f>
        <v>9</v>
      </c>
      <c r="O7" s="28">
        <f>SUMIFS($E$25:$E$29,$B$25:$B$29,"&lt;="&amp;B27)</f>
        <v>40</v>
      </c>
      <c r="P7" s="48">
        <f t="shared" si="0"/>
        <v>0.8</v>
      </c>
    </row>
    <row r="8" spans="12:16" x14ac:dyDescent="0.2">
      <c r="L8" s="27"/>
      <c r="M8" s="32" t="str">
        <f t="shared" si="1"/>
        <v xml:space="preserve">less than </v>
      </c>
      <c r="N8" s="28">
        <f>B28</f>
        <v>12</v>
      </c>
      <c r="O8" s="28">
        <f>SUMIFS($E$25:$E$29,$B$25:$B$29,"&lt;="&amp;B28)</f>
        <v>48</v>
      </c>
      <c r="P8" s="48">
        <f t="shared" si="0"/>
        <v>0.96</v>
      </c>
    </row>
    <row r="9" spans="12:16" x14ac:dyDescent="0.2">
      <c r="M9" s="32" t="str">
        <f t="shared" si="1"/>
        <v xml:space="preserve">less than </v>
      </c>
      <c r="N9" s="28">
        <f>B29</f>
        <v>15</v>
      </c>
      <c r="O9" s="28">
        <f>SUMIFS($E$25:$E$29,$B$25:$B$29,"&lt;="&amp;B29)</f>
        <v>50</v>
      </c>
      <c r="P9" s="48">
        <f t="shared" si="0"/>
        <v>1</v>
      </c>
    </row>
    <row r="10" spans="12:16" x14ac:dyDescent="0.2">
      <c r="L10" s="33" t="s">
        <v>83</v>
      </c>
    </row>
    <row r="24" spans="1:13" ht="24" x14ac:dyDescent="0.2">
      <c r="A24" s="31" t="s">
        <v>98</v>
      </c>
      <c r="B24" s="31" t="s">
        <v>99</v>
      </c>
      <c r="C24" s="34" t="s">
        <v>103</v>
      </c>
      <c r="D24" s="34" t="s">
        <v>106</v>
      </c>
      <c r="E24" s="34" t="s">
        <v>104</v>
      </c>
      <c r="F24" s="34" t="s">
        <v>90</v>
      </c>
    </row>
    <row r="25" spans="1:13" x14ac:dyDescent="0.2">
      <c r="A25" s="28">
        <v>0</v>
      </c>
      <c r="B25" s="28">
        <f>A25+$B$33</f>
        <v>3</v>
      </c>
      <c r="C25" s="28" t="str">
        <f>A25&amp;" up to "&amp;B25</f>
        <v>0 up to 3</v>
      </c>
      <c r="D25" s="28">
        <f>AVERAGE(A25:B25)</f>
        <v>1.5</v>
      </c>
      <c r="E25" s="28">
        <v>5</v>
      </c>
      <c r="F25" s="35">
        <f>E25/$E$30*100</f>
        <v>10</v>
      </c>
    </row>
    <row r="26" spans="1:13" x14ac:dyDescent="0.2">
      <c r="A26" s="28">
        <f>B25</f>
        <v>3</v>
      </c>
      <c r="B26" s="28">
        <f t="shared" ref="B26:B29" si="2">A26+$B$33</f>
        <v>6</v>
      </c>
      <c r="C26" s="28" t="str">
        <f>A26&amp;" up to "&amp;B26</f>
        <v>3 up to 6</v>
      </c>
      <c r="D26" s="28">
        <f>AVERAGE(A26:B26)</f>
        <v>4.5</v>
      </c>
      <c r="E26" s="28">
        <v>12</v>
      </c>
      <c r="F26" s="35">
        <f t="shared" ref="F26:F30" si="3">E26/$E$30*100</f>
        <v>24</v>
      </c>
    </row>
    <row r="27" spans="1:13" x14ac:dyDescent="0.2">
      <c r="A27" s="28">
        <f t="shared" ref="A27:A29" si="4">B26</f>
        <v>6</v>
      </c>
      <c r="B27" s="28">
        <f t="shared" si="2"/>
        <v>9</v>
      </c>
      <c r="C27" s="28" t="str">
        <f>A27&amp;" up to "&amp;B27</f>
        <v>6 up to 9</v>
      </c>
      <c r="D27" s="28">
        <f>AVERAGE(A27:B27)</f>
        <v>7.5</v>
      </c>
      <c r="E27" s="28">
        <v>23</v>
      </c>
      <c r="F27" s="35">
        <f t="shared" si="3"/>
        <v>46</v>
      </c>
    </row>
    <row r="28" spans="1:13" x14ac:dyDescent="0.2">
      <c r="A28" s="28">
        <f t="shared" si="4"/>
        <v>9</v>
      </c>
      <c r="B28" s="28">
        <f t="shared" si="2"/>
        <v>12</v>
      </c>
      <c r="C28" s="28" t="str">
        <f>A28&amp;" up to "&amp;B28</f>
        <v>9 up to 12</v>
      </c>
      <c r="D28" s="28">
        <f>AVERAGE(A28:B28)</f>
        <v>10.5</v>
      </c>
      <c r="E28" s="28">
        <v>8</v>
      </c>
      <c r="F28" s="35">
        <f t="shared" si="3"/>
        <v>16</v>
      </c>
      <c r="L28" s="33" t="s">
        <v>89</v>
      </c>
      <c r="M28" t="s">
        <v>112</v>
      </c>
    </row>
    <row r="29" spans="1:13" x14ac:dyDescent="0.2">
      <c r="A29" s="28">
        <f t="shared" si="4"/>
        <v>12</v>
      </c>
      <c r="B29" s="28">
        <f t="shared" si="2"/>
        <v>15</v>
      </c>
      <c r="C29" s="37" t="str">
        <f>A29&amp;" up to "&amp;B29</f>
        <v>12 up to 15</v>
      </c>
      <c r="D29" s="37">
        <f>AVERAGE(A29:B29)</f>
        <v>13.5</v>
      </c>
      <c r="E29" s="37">
        <v>2</v>
      </c>
      <c r="F29" s="35">
        <f t="shared" si="3"/>
        <v>4</v>
      </c>
    </row>
    <row r="30" spans="1:13" x14ac:dyDescent="0.2">
      <c r="C30" s="31" t="s">
        <v>100</v>
      </c>
      <c r="D30" s="31"/>
      <c r="E30" s="31">
        <f>SUM(E25:E29)</f>
        <v>50</v>
      </c>
      <c r="F30" s="35">
        <f t="shared" si="3"/>
        <v>100</v>
      </c>
    </row>
    <row r="32" spans="1:13" x14ac:dyDescent="0.2">
      <c r="A32" s="28" t="s">
        <v>70</v>
      </c>
      <c r="B32" s="28">
        <v>5</v>
      </c>
    </row>
    <row r="33" spans="1:2" x14ac:dyDescent="0.2">
      <c r="A33" s="28" t="s">
        <v>76</v>
      </c>
      <c r="B33" s="28">
        <v>3</v>
      </c>
    </row>
    <row r="34" spans="1:2" x14ac:dyDescent="0.2">
      <c r="A34" s="28" t="s">
        <v>105</v>
      </c>
      <c r="B34" s="28">
        <v>1000</v>
      </c>
    </row>
  </sheetData>
  <mergeCells count="1">
    <mergeCell ref="M3:N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CB08-25B0-4688-A434-89F05DA94818}">
  <dimension ref="A1:M40"/>
  <sheetViews>
    <sheetView workbookViewId="0">
      <selection activeCell="A20" sqref="A20:K41"/>
    </sheetView>
  </sheetViews>
  <sheetFormatPr defaultRowHeight="12" x14ac:dyDescent="0.2"/>
  <cols>
    <col min="1" max="1" width="16.140625" customWidth="1"/>
    <col min="2" max="2" width="12.28515625" customWidth="1"/>
    <col min="8" max="8" width="10.140625" bestFit="1" customWidth="1"/>
    <col min="12" max="12" width="13.7109375" customWidth="1"/>
    <col min="13" max="13" width="21.42578125" customWidth="1"/>
  </cols>
  <sheetData>
    <row r="1" spans="1:13" x14ac:dyDescent="0.2">
      <c r="L1" s="51" t="s">
        <v>113</v>
      </c>
      <c r="M1" s="51" t="s">
        <v>114</v>
      </c>
    </row>
    <row r="2" spans="1:13" x14ac:dyDescent="0.2">
      <c r="L2" s="28">
        <v>1</v>
      </c>
      <c r="M2" s="28">
        <v>28</v>
      </c>
    </row>
    <row r="3" spans="1:13" x14ac:dyDescent="0.2">
      <c r="L3" s="28">
        <v>2</v>
      </c>
      <c r="M3" s="28">
        <v>25</v>
      </c>
    </row>
    <row r="4" spans="1:13" x14ac:dyDescent="0.2">
      <c r="L4" s="28">
        <v>3</v>
      </c>
      <c r="M4" s="28">
        <v>48</v>
      </c>
    </row>
    <row r="5" spans="1:13" x14ac:dyDescent="0.2">
      <c r="L5" s="28">
        <v>4</v>
      </c>
      <c r="M5" s="28">
        <v>37</v>
      </c>
    </row>
    <row r="6" spans="1:13" x14ac:dyDescent="0.2">
      <c r="L6" s="28">
        <v>5</v>
      </c>
      <c r="M6" s="28">
        <v>41</v>
      </c>
    </row>
    <row r="7" spans="1:13" x14ac:dyDescent="0.2">
      <c r="L7" s="28">
        <v>6</v>
      </c>
      <c r="M7" s="28">
        <v>19</v>
      </c>
    </row>
    <row r="8" spans="1:13" x14ac:dyDescent="0.2">
      <c r="L8" s="28">
        <v>7</v>
      </c>
      <c r="M8" s="28">
        <v>32</v>
      </c>
    </row>
    <row r="9" spans="1:13" x14ac:dyDescent="0.2">
      <c r="L9" s="28">
        <v>8</v>
      </c>
      <c r="M9" s="28">
        <v>26</v>
      </c>
    </row>
    <row r="10" spans="1:13" x14ac:dyDescent="0.2">
      <c r="L10" s="28">
        <v>9</v>
      </c>
      <c r="M10" s="28">
        <v>16</v>
      </c>
    </row>
    <row r="11" spans="1:13" x14ac:dyDescent="0.2">
      <c r="L11" s="28">
        <v>10</v>
      </c>
      <c r="M11" s="28">
        <v>23</v>
      </c>
    </row>
    <row r="12" spans="1:13" x14ac:dyDescent="0.2">
      <c r="L12" s="28">
        <v>11</v>
      </c>
      <c r="M12" s="28">
        <v>23</v>
      </c>
    </row>
    <row r="13" spans="1:13" ht="24" x14ac:dyDescent="0.2">
      <c r="A13" s="32" t="s">
        <v>69</v>
      </c>
      <c r="B13" s="36">
        <f>COUNT(tCommutes[Commute Time (min)])</f>
        <v>25</v>
      </c>
      <c r="E13" s="31" t="s">
        <v>118</v>
      </c>
      <c r="F13" s="31" t="s">
        <v>98</v>
      </c>
      <c r="G13" s="31" t="s">
        <v>99</v>
      </c>
      <c r="H13" s="34" t="s">
        <v>119</v>
      </c>
      <c r="I13" s="31" t="s">
        <v>97</v>
      </c>
      <c r="L13" s="28">
        <v>12</v>
      </c>
      <c r="M13" s="28">
        <v>29</v>
      </c>
    </row>
    <row r="14" spans="1:13" x14ac:dyDescent="0.2">
      <c r="A14" s="32" t="s">
        <v>63</v>
      </c>
      <c r="B14" s="36">
        <f>MIN(tCommutes[Commute Time (min)])</f>
        <v>16</v>
      </c>
      <c r="E14" s="28">
        <v>1</v>
      </c>
      <c r="F14" s="28">
        <f>B14-1</f>
        <v>15</v>
      </c>
      <c r="G14" s="28">
        <f>F14+$B$18</f>
        <v>22</v>
      </c>
      <c r="H14" t="str">
        <f>F14&amp;" up to "&amp;G14</f>
        <v>15 up to 22</v>
      </c>
      <c r="I14" s="28">
        <f>COUNTIFS(tCommutes[Commute Time (min)],"&gt;="&amp;F14,tCommutes[Commute Time (min)],"&lt;"&amp;G14)</f>
        <v>3</v>
      </c>
      <c r="L14" s="28">
        <v>13</v>
      </c>
      <c r="M14" s="28">
        <v>36</v>
      </c>
    </row>
    <row r="15" spans="1:13" x14ac:dyDescent="0.2">
      <c r="A15" s="32" t="s">
        <v>64</v>
      </c>
      <c r="B15" s="36">
        <f>MAX(tCommutes[Commute Time (min)])</f>
        <v>48</v>
      </c>
      <c r="E15" s="28">
        <v>2</v>
      </c>
      <c r="F15" s="28">
        <f>G14</f>
        <v>22</v>
      </c>
      <c r="G15" s="28">
        <f>F15+$B$18</f>
        <v>29</v>
      </c>
      <c r="H15" t="str">
        <f t="shared" ref="H15:H18" si="0">F15&amp;" up to "&amp;G15</f>
        <v>22 up to 29</v>
      </c>
      <c r="I15" s="28">
        <f>COUNTIFS(tCommutes[Commute Time (min)],"&gt;="&amp;F15,tCommutes[Commute Time (min)],"&lt;"&amp;G15)</f>
        <v>8</v>
      </c>
      <c r="L15" s="28">
        <v>14</v>
      </c>
      <c r="M15" s="28">
        <v>31</v>
      </c>
    </row>
    <row r="16" spans="1:13" x14ac:dyDescent="0.2">
      <c r="A16" s="32" t="s">
        <v>67</v>
      </c>
      <c r="B16" s="36">
        <f>B15-B14</f>
        <v>32</v>
      </c>
      <c r="E16" s="28">
        <v>3</v>
      </c>
      <c r="F16" s="28">
        <f>G15</f>
        <v>29</v>
      </c>
      <c r="G16" s="28">
        <f>F16+$B$18</f>
        <v>36</v>
      </c>
      <c r="H16" t="str">
        <f t="shared" si="0"/>
        <v>29 up to 36</v>
      </c>
      <c r="I16" s="28">
        <f>COUNTIFS(tCommutes[Commute Time (min)],"&gt;="&amp;F16,tCommutes[Commute Time (min)],"&lt;"&amp;G16)</f>
        <v>7</v>
      </c>
      <c r="L16" s="28">
        <v>15</v>
      </c>
      <c r="M16" s="28">
        <v>26</v>
      </c>
    </row>
    <row r="17" spans="1:13" x14ac:dyDescent="0.2">
      <c r="A17" s="32" t="s">
        <v>115</v>
      </c>
      <c r="B17" s="36">
        <f>C36</f>
        <v>5</v>
      </c>
      <c r="E17" s="28">
        <v>4</v>
      </c>
      <c r="F17" s="28">
        <f>G16</f>
        <v>36</v>
      </c>
      <c r="G17" s="28">
        <f>F17+$B$18</f>
        <v>43</v>
      </c>
      <c r="H17" t="str">
        <f t="shared" si="0"/>
        <v>36 up to 43</v>
      </c>
      <c r="I17" s="28">
        <f>COUNTIFS(tCommutes[Commute Time (min)],"&gt;="&amp;F17,tCommutes[Commute Time (min)],"&lt;"&amp;G17)</f>
        <v>5</v>
      </c>
      <c r="L17" s="28">
        <v>16</v>
      </c>
      <c r="M17" s="28">
        <v>21</v>
      </c>
    </row>
    <row r="18" spans="1:13" x14ac:dyDescent="0.2">
      <c r="A18" s="32" t="s">
        <v>116</v>
      </c>
      <c r="B18" s="36">
        <f>C39</f>
        <v>7</v>
      </c>
      <c r="E18" s="28">
        <v>5</v>
      </c>
      <c r="F18" s="28">
        <f>G17</f>
        <v>43</v>
      </c>
      <c r="G18" s="28">
        <f>F18+$B$18</f>
        <v>50</v>
      </c>
      <c r="H18" t="str">
        <f t="shared" si="0"/>
        <v>43 up to 50</v>
      </c>
      <c r="I18" s="37">
        <f>COUNTIFS(tCommutes[Commute Time (min)],"&gt;="&amp;F18,tCommutes[Commute Time (min)],"&lt;"&amp;G18)</f>
        <v>2</v>
      </c>
      <c r="L18" s="28">
        <v>17</v>
      </c>
      <c r="M18" s="28">
        <v>32</v>
      </c>
    </row>
    <row r="19" spans="1:13" x14ac:dyDescent="0.2">
      <c r="F19" s="28"/>
      <c r="G19" s="28"/>
      <c r="H19" s="28"/>
      <c r="I19" s="31">
        <f>SUM(I14:I18)</f>
        <v>25</v>
      </c>
      <c r="L19" s="28">
        <v>18</v>
      </c>
      <c r="M19" s="28">
        <v>25</v>
      </c>
    </row>
    <row r="20" spans="1:13" x14ac:dyDescent="0.2">
      <c r="A20" s="27" t="s">
        <v>68</v>
      </c>
      <c r="B20" s="1" t="s">
        <v>74</v>
      </c>
      <c r="F20" s="28"/>
      <c r="G20" s="28"/>
      <c r="H20" s="28"/>
      <c r="L20" s="28">
        <v>19</v>
      </c>
      <c r="M20" s="28">
        <v>31</v>
      </c>
    </row>
    <row r="21" spans="1:13" x14ac:dyDescent="0.2">
      <c r="A21" s="32"/>
      <c r="B21" s="28" t="s">
        <v>70</v>
      </c>
      <c r="C21" s="28" t="s">
        <v>71</v>
      </c>
      <c r="E21" s="33" t="s">
        <v>89</v>
      </c>
      <c r="L21" s="28">
        <v>20</v>
      </c>
      <c r="M21" s="28">
        <v>43</v>
      </c>
    </row>
    <row r="22" spans="1:13" x14ac:dyDescent="0.2">
      <c r="A22" s="32"/>
      <c r="B22" s="28">
        <v>0</v>
      </c>
      <c r="C22" s="28">
        <f t="shared" ref="C22:C35" si="1">2^B22</f>
        <v>1</v>
      </c>
      <c r="L22" s="28">
        <v>21</v>
      </c>
      <c r="M22" s="28">
        <v>35</v>
      </c>
    </row>
    <row r="23" spans="1:13" x14ac:dyDescent="0.2">
      <c r="A23" s="32"/>
      <c r="B23" s="28">
        <v>1</v>
      </c>
      <c r="C23" s="28">
        <f t="shared" si="1"/>
        <v>2</v>
      </c>
      <c r="L23" s="28">
        <v>22</v>
      </c>
      <c r="M23" s="28">
        <v>42</v>
      </c>
    </row>
    <row r="24" spans="1:13" x14ac:dyDescent="0.2">
      <c r="A24" s="32"/>
      <c r="B24" s="28">
        <v>2</v>
      </c>
      <c r="C24" s="28">
        <f t="shared" si="1"/>
        <v>4</v>
      </c>
      <c r="L24" s="28">
        <v>23</v>
      </c>
      <c r="M24" s="28">
        <v>38</v>
      </c>
    </row>
    <row r="25" spans="1:13" x14ac:dyDescent="0.2">
      <c r="A25" s="32"/>
      <c r="B25" s="28">
        <v>3</v>
      </c>
      <c r="C25" s="28">
        <f t="shared" si="1"/>
        <v>8</v>
      </c>
      <c r="L25" s="28">
        <v>24</v>
      </c>
      <c r="M25" s="28">
        <v>33</v>
      </c>
    </row>
    <row r="26" spans="1:13" x14ac:dyDescent="0.2">
      <c r="A26" s="32"/>
      <c r="B26" s="49">
        <v>4</v>
      </c>
      <c r="C26" s="49">
        <f t="shared" si="1"/>
        <v>16</v>
      </c>
      <c r="L26" s="28">
        <v>25</v>
      </c>
      <c r="M26" s="28">
        <v>28</v>
      </c>
    </row>
    <row r="27" spans="1:13" x14ac:dyDescent="0.2">
      <c r="A27" s="32"/>
      <c r="B27" s="50">
        <v>5</v>
      </c>
      <c r="C27" s="50">
        <f t="shared" si="1"/>
        <v>32</v>
      </c>
    </row>
    <row r="28" spans="1:13" x14ac:dyDescent="0.2">
      <c r="A28" s="32"/>
      <c r="B28" s="49">
        <v>6</v>
      </c>
      <c r="C28" s="49">
        <f t="shared" si="1"/>
        <v>64</v>
      </c>
    </row>
    <row r="29" spans="1:13" x14ac:dyDescent="0.2">
      <c r="A29" s="32"/>
      <c r="B29" s="28">
        <v>7</v>
      </c>
      <c r="C29" s="28">
        <f t="shared" si="1"/>
        <v>128</v>
      </c>
    </row>
    <row r="30" spans="1:13" x14ac:dyDescent="0.2">
      <c r="A30" s="32"/>
      <c r="B30" s="28">
        <v>8</v>
      </c>
      <c r="C30" s="28">
        <f t="shared" si="1"/>
        <v>256</v>
      </c>
    </row>
    <row r="31" spans="1:13" x14ac:dyDescent="0.2">
      <c r="A31" s="32"/>
      <c r="B31" s="28">
        <v>9</v>
      </c>
      <c r="C31" s="28">
        <f t="shared" si="1"/>
        <v>512</v>
      </c>
    </row>
    <row r="32" spans="1:13" x14ac:dyDescent="0.2">
      <c r="A32" s="32"/>
      <c r="B32" s="28">
        <v>10</v>
      </c>
      <c r="C32" s="28">
        <f t="shared" si="1"/>
        <v>1024</v>
      </c>
    </row>
    <row r="33" spans="1:11" x14ac:dyDescent="0.2">
      <c r="A33" s="32"/>
      <c r="B33" s="28">
        <v>11</v>
      </c>
      <c r="C33" s="28">
        <f t="shared" si="1"/>
        <v>2048</v>
      </c>
    </row>
    <row r="34" spans="1:11" x14ac:dyDescent="0.2">
      <c r="A34" s="32"/>
      <c r="B34" s="28">
        <v>12</v>
      </c>
      <c r="C34" s="28">
        <f t="shared" si="1"/>
        <v>4096</v>
      </c>
    </row>
    <row r="35" spans="1:11" x14ac:dyDescent="0.2">
      <c r="A35" s="32"/>
      <c r="B35" s="28">
        <v>13</v>
      </c>
      <c r="C35" s="28">
        <f t="shared" si="1"/>
        <v>8192</v>
      </c>
    </row>
    <row r="36" spans="1:11" x14ac:dyDescent="0.2">
      <c r="A36" s="53" t="s">
        <v>72</v>
      </c>
      <c r="B36" s="52" t="s">
        <v>70</v>
      </c>
      <c r="C36" s="52">
        <f>B27</f>
        <v>5</v>
      </c>
    </row>
    <row r="37" spans="1:11" x14ac:dyDescent="0.2">
      <c r="A37" s="27" t="s">
        <v>73</v>
      </c>
      <c r="B37" s="1" t="s">
        <v>75</v>
      </c>
    </row>
    <row r="38" spans="1:11" x14ac:dyDescent="0.2">
      <c r="A38" s="32"/>
      <c r="B38" t="s">
        <v>117</v>
      </c>
      <c r="C38" s="28">
        <f>B16/(C36 - 1)</f>
        <v>8</v>
      </c>
      <c r="E38" s="33" t="s">
        <v>92</v>
      </c>
      <c r="F38" s="84" t="s">
        <v>120</v>
      </c>
      <c r="G38" s="84"/>
      <c r="H38" s="84"/>
      <c r="I38" s="84"/>
      <c r="J38" s="84"/>
      <c r="K38" s="84"/>
    </row>
    <row r="39" spans="1:11" ht="11.65" customHeight="1" x14ac:dyDescent="0.2">
      <c r="A39" s="53" t="s">
        <v>77</v>
      </c>
      <c r="B39" s="52" t="s">
        <v>76</v>
      </c>
      <c r="C39" s="52">
        <v>7</v>
      </c>
      <c r="F39" s="84"/>
      <c r="G39" s="84"/>
      <c r="H39" s="84"/>
      <c r="I39" s="84"/>
      <c r="J39" s="84"/>
      <c r="K39" s="84"/>
    </row>
    <row r="40" spans="1:11" x14ac:dyDescent="0.2">
      <c r="A40" s="33" t="s">
        <v>83</v>
      </c>
      <c r="B40" s="54">
        <f>F14</f>
        <v>15</v>
      </c>
    </row>
  </sheetData>
  <mergeCells count="1">
    <mergeCell ref="F38:K39"/>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44A8-11F7-4258-B2A4-2F39BAA5CC5E}">
  <dimension ref="A1:R61"/>
  <sheetViews>
    <sheetView workbookViewId="0">
      <selection activeCell="G16" sqref="G16:S39"/>
    </sheetView>
  </sheetViews>
  <sheetFormatPr defaultRowHeight="12" x14ac:dyDescent="0.2"/>
  <cols>
    <col min="3" max="3" width="13.85546875" bestFit="1" customWidth="1"/>
    <col min="7" max="7" width="3.140625" customWidth="1"/>
    <col min="8" max="8" width="4" bestFit="1" customWidth="1"/>
    <col min="13" max="13" width="6.7109375" bestFit="1" customWidth="1"/>
    <col min="14" max="15" width="5.85546875" bestFit="1" customWidth="1"/>
    <col min="16" max="16" width="12.5703125" bestFit="1" customWidth="1"/>
    <col min="17" max="18" width="10" customWidth="1"/>
  </cols>
  <sheetData>
    <row r="1" spans="1:18" ht="36" x14ac:dyDescent="0.2">
      <c r="M1" s="38" t="s">
        <v>118</v>
      </c>
      <c r="N1" s="38" t="s">
        <v>98</v>
      </c>
      <c r="O1" s="38" t="s">
        <v>99</v>
      </c>
      <c r="P1" s="38" t="s">
        <v>82</v>
      </c>
      <c r="Q1" s="38" t="s">
        <v>97</v>
      </c>
      <c r="R1" s="38" t="s">
        <v>90</v>
      </c>
    </row>
    <row r="2" spans="1:18" x14ac:dyDescent="0.2">
      <c r="M2" s="28">
        <v>1</v>
      </c>
      <c r="N2" s="28">
        <f>D17-1</f>
        <v>0</v>
      </c>
      <c r="O2" s="28">
        <f t="shared" ref="O2:O7" si="0">N2+$D$21</f>
        <v>2</v>
      </c>
      <c r="P2" s="28" t="str">
        <f>TEXT(N2,"0.0")&amp;" up to "&amp;TEXT(O2,"0.0")</f>
        <v>0.0 up to 2.0</v>
      </c>
      <c r="Q2" s="28">
        <f>COUNTIFS(tSongPlays[song_plays],"&lt;"&amp;O2,tSongPlays[song_plays],"&gt;="&amp;N2)</f>
        <v>1</v>
      </c>
      <c r="R2" s="35">
        <f>Q2/$Q$8</f>
        <v>2.2222222222222223E-2</v>
      </c>
    </row>
    <row r="3" spans="1:18" x14ac:dyDescent="0.2">
      <c r="M3" s="28">
        <v>2</v>
      </c>
      <c r="N3" s="28">
        <f>O2</f>
        <v>2</v>
      </c>
      <c r="O3" s="28">
        <f t="shared" si="0"/>
        <v>4</v>
      </c>
      <c r="P3" s="28" t="str">
        <f t="shared" ref="P3:P7" si="1">TEXT(N3,"0.0")&amp;" up to "&amp;TEXT(O3,"0.0")</f>
        <v>2.0 up to 4.0</v>
      </c>
      <c r="Q3" s="28">
        <f>COUNTIFS(tSongPlays[song_plays],"&lt;"&amp;O3,tSongPlays[song_plays],"&gt;="&amp;N3)</f>
        <v>5</v>
      </c>
      <c r="R3" s="35">
        <f t="shared" ref="R3:R8" si="2">Q3/$Q$8</f>
        <v>0.1111111111111111</v>
      </c>
    </row>
    <row r="4" spans="1:18" x14ac:dyDescent="0.2">
      <c r="M4" s="28">
        <v>3</v>
      </c>
      <c r="N4" s="28">
        <f t="shared" ref="N4:N7" si="3">O3</f>
        <v>4</v>
      </c>
      <c r="O4" s="28">
        <f t="shared" si="0"/>
        <v>6</v>
      </c>
      <c r="P4" s="28" t="str">
        <f t="shared" si="1"/>
        <v>4.0 up to 6.0</v>
      </c>
      <c r="Q4" s="28">
        <f>COUNTIFS(tSongPlays[song_plays],"&lt;"&amp;O4,tSongPlays[song_plays],"&gt;="&amp;N4)</f>
        <v>12</v>
      </c>
      <c r="R4" s="35">
        <f t="shared" si="2"/>
        <v>0.26666666666666666</v>
      </c>
    </row>
    <row r="5" spans="1:18" x14ac:dyDescent="0.2">
      <c r="M5" s="28">
        <v>4</v>
      </c>
      <c r="N5" s="28">
        <f t="shared" si="3"/>
        <v>6</v>
      </c>
      <c r="O5" s="28">
        <f t="shared" si="0"/>
        <v>8</v>
      </c>
      <c r="P5" s="28" t="str">
        <f t="shared" si="1"/>
        <v>6.0 up to 8.0</v>
      </c>
      <c r="Q5" s="28">
        <f>COUNTIFS(tSongPlays[song_plays],"&lt;"&amp;O5,tSongPlays[song_plays],"&gt;="&amp;N5)</f>
        <v>17</v>
      </c>
      <c r="R5" s="35">
        <f t="shared" si="2"/>
        <v>0.37777777777777777</v>
      </c>
    </row>
    <row r="6" spans="1:18" x14ac:dyDescent="0.2">
      <c r="M6" s="28">
        <v>5</v>
      </c>
      <c r="N6" s="28">
        <f t="shared" si="3"/>
        <v>8</v>
      </c>
      <c r="O6" s="28">
        <f t="shared" si="0"/>
        <v>10</v>
      </c>
      <c r="P6" s="28" t="str">
        <f t="shared" si="1"/>
        <v>8.0 up to 10.0</v>
      </c>
      <c r="Q6" s="28">
        <f>COUNTIFS(tSongPlays[song_plays],"&lt;"&amp;O6,tSongPlays[song_plays],"&gt;="&amp;N6)</f>
        <v>8</v>
      </c>
      <c r="R6" s="35">
        <f t="shared" si="2"/>
        <v>0.17777777777777778</v>
      </c>
    </row>
    <row r="7" spans="1:18" x14ac:dyDescent="0.2">
      <c r="M7" s="28">
        <v>6</v>
      </c>
      <c r="N7" s="28">
        <f t="shared" si="3"/>
        <v>10</v>
      </c>
      <c r="O7" s="28">
        <f t="shared" si="0"/>
        <v>12</v>
      </c>
      <c r="P7" s="28" t="str">
        <f t="shared" si="1"/>
        <v>10.0 up to 12.0</v>
      </c>
      <c r="Q7" s="28">
        <f>COUNTIFS(tSongPlays[song_plays],"&lt;"&amp;O7,tSongPlays[song_plays],"&gt;="&amp;N7)</f>
        <v>2</v>
      </c>
      <c r="R7" s="35">
        <f t="shared" si="2"/>
        <v>4.4444444444444446E-2</v>
      </c>
    </row>
    <row r="8" spans="1:18" x14ac:dyDescent="0.2">
      <c r="Q8" s="31">
        <f>SUM(Q2:Q7)</f>
        <v>45</v>
      </c>
      <c r="R8" s="58">
        <f t="shared" si="2"/>
        <v>1</v>
      </c>
    </row>
    <row r="16" spans="1:18" x14ac:dyDescent="0.2">
      <c r="A16" t="s">
        <v>121</v>
      </c>
      <c r="B16" t="s">
        <v>128</v>
      </c>
      <c r="C16" s="32" t="s">
        <v>127</v>
      </c>
      <c r="D16">
        <f>COUNT(tSongPlays[song_plays])</f>
        <v>45</v>
      </c>
      <c r="G16" s="56" t="s">
        <v>72</v>
      </c>
      <c r="H16">
        <f>D20</f>
        <v>6</v>
      </c>
    </row>
    <row r="17" spans="1:8" x14ac:dyDescent="0.2">
      <c r="A17">
        <v>1</v>
      </c>
      <c r="B17">
        <v>4</v>
      </c>
      <c r="C17" s="32" t="s">
        <v>122</v>
      </c>
      <c r="D17">
        <f>MIN(tSongPlays[song_plays])</f>
        <v>1</v>
      </c>
      <c r="G17" s="56" t="s">
        <v>77</v>
      </c>
      <c r="H17">
        <f>D21</f>
        <v>2</v>
      </c>
    </row>
    <row r="18" spans="1:8" x14ac:dyDescent="0.2">
      <c r="A18">
        <v>2</v>
      </c>
      <c r="B18">
        <v>6</v>
      </c>
      <c r="C18" s="32" t="s">
        <v>123</v>
      </c>
      <c r="D18">
        <f>MAX(tSongPlays[song_plays])</f>
        <v>10</v>
      </c>
      <c r="G18" s="56" t="s">
        <v>83</v>
      </c>
      <c r="H18">
        <f>N2</f>
        <v>0</v>
      </c>
    </row>
    <row r="19" spans="1:8" x14ac:dyDescent="0.2">
      <c r="A19">
        <v>3</v>
      </c>
      <c r="B19">
        <v>8</v>
      </c>
      <c r="C19" s="32" t="s">
        <v>124</v>
      </c>
      <c r="D19">
        <f>D18-D17</f>
        <v>9</v>
      </c>
      <c r="G19" s="56" t="s">
        <v>89</v>
      </c>
    </row>
    <row r="20" spans="1:8" x14ac:dyDescent="0.2">
      <c r="A20">
        <v>4</v>
      </c>
      <c r="B20">
        <v>7</v>
      </c>
      <c r="C20" s="32" t="s">
        <v>125</v>
      </c>
      <c r="D20">
        <v>6</v>
      </c>
    </row>
    <row r="21" spans="1:8" x14ac:dyDescent="0.2">
      <c r="A21">
        <v>5</v>
      </c>
      <c r="B21">
        <v>9</v>
      </c>
      <c r="C21" s="32" t="s">
        <v>126</v>
      </c>
      <c r="D21">
        <f>ROUNDUP(D19/D20,0)</f>
        <v>2</v>
      </c>
    </row>
    <row r="22" spans="1:8" x14ac:dyDescent="0.2">
      <c r="A22">
        <v>6</v>
      </c>
      <c r="B22">
        <v>6</v>
      </c>
    </row>
    <row r="23" spans="1:8" x14ac:dyDescent="0.2">
      <c r="A23">
        <v>7</v>
      </c>
      <c r="B23">
        <v>3</v>
      </c>
      <c r="C23" s="28" t="s">
        <v>70</v>
      </c>
      <c r="D23" s="28" t="s">
        <v>71</v>
      </c>
      <c r="E23" s="28" t="s">
        <v>129</v>
      </c>
    </row>
    <row r="24" spans="1:8" x14ac:dyDescent="0.2">
      <c r="A24">
        <v>8</v>
      </c>
      <c r="B24">
        <v>7</v>
      </c>
      <c r="C24" s="28">
        <v>0</v>
      </c>
      <c r="D24" s="28">
        <f t="shared" ref="D24:D37" si="4">2^C24</f>
        <v>1</v>
      </c>
      <c r="E24" t="b">
        <f t="shared" ref="E24:E37" si="5">D24&gt;=$D$16</f>
        <v>0</v>
      </c>
    </row>
    <row r="25" spans="1:8" x14ac:dyDescent="0.2">
      <c r="A25">
        <v>9</v>
      </c>
      <c r="B25">
        <v>7</v>
      </c>
      <c r="C25" s="28">
        <v>1</v>
      </c>
      <c r="D25" s="28">
        <f t="shared" si="4"/>
        <v>2</v>
      </c>
      <c r="E25" t="b">
        <f t="shared" si="5"/>
        <v>0</v>
      </c>
    </row>
    <row r="26" spans="1:8" x14ac:dyDescent="0.2">
      <c r="A26">
        <v>10</v>
      </c>
      <c r="B26">
        <v>6</v>
      </c>
      <c r="C26" s="28">
        <v>2</v>
      </c>
      <c r="D26" s="28">
        <f t="shared" si="4"/>
        <v>4</v>
      </c>
      <c r="E26" t="b">
        <f t="shared" si="5"/>
        <v>0</v>
      </c>
    </row>
    <row r="27" spans="1:8" x14ac:dyDescent="0.2">
      <c r="A27">
        <v>11</v>
      </c>
      <c r="B27">
        <v>7</v>
      </c>
      <c r="C27" s="28">
        <v>3</v>
      </c>
      <c r="D27" s="28">
        <f t="shared" si="4"/>
        <v>8</v>
      </c>
      <c r="E27" t="b">
        <f t="shared" si="5"/>
        <v>0</v>
      </c>
    </row>
    <row r="28" spans="1:8" x14ac:dyDescent="0.2">
      <c r="A28">
        <v>12</v>
      </c>
      <c r="B28">
        <v>1</v>
      </c>
      <c r="C28" s="49">
        <v>4</v>
      </c>
      <c r="D28" s="49">
        <f t="shared" si="4"/>
        <v>16</v>
      </c>
      <c r="E28" t="b">
        <f t="shared" si="5"/>
        <v>0</v>
      </c>
    </row>
    <row r="29" spans="1:8" x14ac:dyDescent="0.2">
      <c r="A29">
        <v>13</v>
      </c>
      <c r="B29">
        <v>4</v>
      </c>
      <c r="C29" s="49">
        <v>5</v>
      </c>
      <c r="D29" s="49">
        <f t="shared" si="4"/>
        <v>32</v>
      </c>
      <c r="E29" t="b">
        <f t="shared" si="5"/>
        <v>0</v>
      </c>
    </row>
    <row r="30" spans="1:8" x14ac:dyDescent="0.2">
      <c r="A30">
        <v>14</v>
      </c>
      <c r="B30">
        <v>7</v>
      </c>
      <c r="C30" s="49">
        <v>6</v>
      </c>
      <c r="D30" s="49">
        <f t="shared" si="4"/>
        <v>64</v>
      </c>
      <c r="E30" t="b">
        <f t="shared" si="5"/>
        <v>1</v>
      </c>
    </row>
    <row r="31" spans="1:8" x14ac:dyDescent="0.2">
      <c r="A31">
        <v>15</v>
      </c>
      <c r="B31">
        <v>7</v>
      </c>
      <c r="C31" s="28">
        <v>7</v>
      </c>
      <c r="D31" s="28">
        <f t="shared" si="4"/>
        <v>128</v>
      </c>
      <c r="E31" t="b">
        <f t="shared" si="5"/>
        <v>1</v>
      </c>
    </row>
    <row r="32" spans="1:8" x14ac:dyDescent="0.2">
      <c r="A32">
        <v>16</v>
      </c>
      <c r="B32">
        <v>4</v>
      </c>
      <c r="C32" s="28">
        <v>8</v>
      </c>
      <c r="D32" s="28">
        <f t="shared" si="4"/>
        <v>256</v>
      </c>
      <c r="E32" t="b">
        <f t="shared" si="5"/>
        <v>1</v>
      </c>
    </row>
    <row r="33" spans="1:18" x14ac:dyDescent="0.2">
      <c r="A33">
        <v>17</v>
      </c>
      <c r="B33">
        <v>6</v>
      </c>
      <c r="C33" s="28">
        <v>9</v>
      </c>
      <c r="D33" s="28">
        <f t="shared" si="4"/>
        <v>512</v>
      </c>
      <c r="E33" t="b">
        <f t="shared" si="5"/>
        <v>1</v>
      </c>
    </row>
    <row r="34" spans="1:18" x14ac:dyDescent="0.2">
      <c r="A34">
        <v>18</v>
      </c>
      <c r="B34">
        <v>4</v>
      </c>
      <c r="C34" s="28">
        <v>10</v>
      </c>
      <c r="D34" s="28">
        <f t="shared" si="4"/>
        <v>1024</v>
      </c>
      <c r="E34" t="b">
        <f t="shared" si="5"/>
        <v>1</v>
      </c>
    </row>
    <row r="35" spans="1:18" x14ac:dyDescent="0.2">
      <c r="A35">
        <v>19</v>
      </c>
      <c r="B35">
        <v>10</v>
      </c>
      <c r="C35" s="28">
        <v>11</v>
      </c>
      <c r="D35" s="28">
        <f t="shared" si="4"/>
        <v>2048</v>
      </c>
      <c r="E35" t="b">
        <f t="shared" si="5"/>
        <v>1</v>
      </c>
    </row>
    <row r="36" spans="1:18" x14ac:dyDescent="0.2">
      <c r="A36">
        <v>20</v>
      </c>
      <c r="B36">
        <v>2</v>
      </c>
      <c r="C36" s="28">
        <v>12</v>
      </c>
      <c r="D36" s="28">
        <f t="shared" si="4"/>
        <v>4096</v>
      </c>
      <c r="E36" t="b">
        <f t="shared" si="5"/>
        <v>1</v>
      </c>
    </row>
    <row r="37" spans="1:18" x14ac:dyDescent="0.2">
      <c r="A37">
        <v>21</v>
      </c>
      <c r="B37">
        <v>4</v>
      </c>
      <c r="C37" s="28">
        <v>13</v>
      </c>
      <c r="D37" s="28">
        <f t="shared" si="4"/>
        <v>8192</v>
      </c>
      <c r="E37" t="b">
        <f t="shared" si="5"/>
        <v>1</v>
      </c>
      <c r="G37" s="56" t="s">
        <v>92</v>
      </c>
      <c r="H37" s="84" t="s">
        <v>133</v>
      </c>
      <c r="I37" s="84"/>
      <c r="J37" s="84"/>
      <c r="K37" s="84"/>
      <c r="L37" s="84"/>
      <c r="M37" s="84"/>
      <c r="N37" s="84"/>
      <c r="O37" s="84"/>
      <c r="P37" s="84"/>
      <c r="Q37" s="84"/>
      <c r="R37" s="84"/>
    </row>
    <row r="38" spans="1:18" x14ac:dyDescent="0.2">
      <c r="A38">
        <v>22</v>
      </c>
      <c r="B38">
        <v>6</v>
      </c>
      <c r="H38" s="84"/>
      <c r="I38" s="84"/>
      <c r="J38" s="84"/>
      <c r="K38" s="84"/>
      <c r="L38" s="84"/>
      <c r="M38" s="84"/>
      <c r="N38" s="84"/>
      <c r="O38" s="84"/>
      <c r="P38" s="84"/>
      <c r="Q38" s="84"/>
      <c r="R38" s="84"/>
    </row>
    <row r="39" spans="1:18" x14ac:dyDescent="0.2">
      <c r="A39">
        <v>23</v>
      </c>
      <c r="B39">
        <v>3</v>
      </c>
    </row>
    <row r="40" spans="1:18" x14ac:dyDescent="0.2">
      <c r="A40">
        <v>24</v>
      </c>
      <c r="B40">
        <v>4</v>
      </c>
    </row>
    <row r="41" spans="1:18" x14ac:dyDescent="0.2">
      <c r="A41">
        <v>25</v>
      </c>
      <c r="B41">
        <v>6</v>
      </c>
    </row>
    <row r="42" spans="1:18" x14ac:dyDescent="0.2">
      <c r="A42">
        <v>26</v>
      </c>
      <c r="B42">
        <v>8</v>
      </c>
    </row>
    <row r="43" spans="1:18" x14ac:dyDescent="0.2">
      <c r="A43">
        <v>27</v>
      </c>
      <c r="B43">
        <v>4</v>
      </c>
    </row>
    <row r="44" spans="1:18" x14ac:dyDescent="0.2">
      <c r="A44">
        <v>28</v>
      </c>
      <c r="B44">
        <v>3</v>
      </c>
    </row>
    <row r="45" spans="1:18" x14ac:dyDescent="0.2">
      <c r="A45">
        <v>29</v>
      </c>
      <c r="B45">
        <v>3</v>
      </c>
    </row>
    <row r="46" spans="1:18" x14ac:dyDescent="0.2">
      <c r="A46">
        <v>30</v>
      </c>
      <c r="B46">
        <v>6</v>
      </c>
    </row>
    <row r="47" spans="1:18" x14ac:dyDescent="0.2">
      <c r="A47">
        <v>31</v>
      </c>
      <c r="B47">
        <v>8</v>
      </c>
    </row>
    <row r="48" spans="1:18" x14ac:dyDescent="0.2">
      <c r="A48">
        <v>32</v>
      </c>
      <c r="B48">
        <v>8</v>
      </c>
    </row>
    <row r="49" spans="1:2" x14ac:dyDescent="0.2">
      <c r="A49">
        <v>33</v>
      </c>
      <c r="B49">
        <v>4</v>
      </c>
    </row>
    <row r="50" spans="1:2" x14ac:dyDescent="0.2">
      <c r="A50">
        <v>34</v>
      </c>
      <c r="B50">
        <v>6</v>
      </c>
    </row>
    <row r="51" spans="1:2" x14ac:dyDescent="0.2">
      <c r="A51">
        <v>35</v>
      </c>
      <c r="B51">
        <v>4</v>
      </c>
    </row>
    <row r="52" spans="1:2" x14ac:dyDescent="0.2">
      <c r="A52">
        <v>36</v>
      </c>
      <c r="B52">
        <v>6</v>
      </c>
    </row>
    <row r="53" spans="1:2" x14ac:dyDescent="0.2">
      <c r="A53">
        <v>37</v>
      </c>
      <c r="B53">
        <v>5</v>
      </c>
    </row>
    <row r="54" spans="1:2" x14ac:dyDescent="0.2">
      <c r="A54">
        <v>38</v>
      </c>
      <c r="B54">
        <v>5</v>
      </c>
    </row>
    <row r="55" spans="1:2" x14ac:dyDescent="0.2">
      <c r="A55">
        <v>39</v>
      </c>
      <c r="B55">
        <v>9</v>
      </c>
    </row>
    <row r="56" spans="1:2" x14ac:dyDescent="0.2">
      <c r="A56">
        <v>40</v>
      </c>
      <c r="B56">
        <v>6</v>
      </c>
    </row>
    <row r="57" spans="1:2" x14ac:dyDescent="0.2">
      <c r="A57">
        <v>41</v>
      </c>
      <c r="B57">
        <v>8</v>
      </c>
    </row>
    <row r="58" spans="1:2" x14ac:dyDescent="0.2">
      <c r="A58">
        <v>42</v>
      </c>
      <c r="B58">
        <v>8</v>
      </c>
    </row>
    <row r="59" spans="1:2" x14ac:dyDescent="0.2">
      <c r="A59">
        <v>43</v>
      </c>
      <c r="B59">
        <v>6</v>
      </c>
    </row>
    <row r="60" spans="1:2" x14ac:dyDescent="0.2">
      <c r="A60">
        <v>44</v>
      </c>
      <c r="B60">
        <v>5</v>
      </c>
    </row>
    <row r="61" spans="1:2" x14ac:dyDescent="0.2">
      <c r="A61">
        <v>45</v>
      </c>
      <c r="B61">
        <v>10</v>
      </c>
    </row>
  </sheetData>
  <mergeCells count="1">
    <mergeCell ref="H37:R38"/>
  </mergeCells>
  <pageMargins left="0.7" right="0.7" top="0.75" bottom="0.75" header="0.3" footer="0.3"/>
  <pageSetup orientation="portrait" horizontalDpi="0" verticalDpi="0"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01597-9DB1-4BDD-8C68-E0718428C7B5}">
  <dimension ref="A1:R62"/>
  <sheetViews>
    <sheetView workbookViewId="0">
      <selection activeCell="G18" sqref="G18:N40"/>
    </sheetView>
  </sheetViews>
  <sheetFormatPr defaultRowHeight="12" x14ac:dyDescent="0.2"/>
  <cols>
    <col min="1" max="1" width="12.7109375" customWidth="1"/>
    <col min="2" max="2" width="14.42578125" customWidth="1"/>
    <col min="3" max="3" width="13.85546875" bestFit="1" customWidth="1"/>
    <col min="7" max="7" width="2.42578125" bestFit="1" customWidth="1"/>
    <col min="14" max="14" width="18.85546875" bestFit="1" customWidth="1"/>
  </cols>
  <sheetData>
    <row r="1" spans="11:18" ht="36" x14ac:dyDescent="0.2">
      <c r="K1" s="38" t="s">
        <v>118</v>
      </c>
      <c r="L1" s="38" t="s">
        <v>98</v>
      </c>
      <c r="M1" s="38" t="s">
        <v>99</v>
      </c>
      <c r="N1" s="38" t="s">
        <v>82</v>
      </c>
      <c r="O1" s="38" t="s">
        <v>97</v>
      </c>
      <c r="P1" s="38" t="s">
        <v>90</v>
      </c>
      <c r="Q1" s="38" t="s">
        <v>110</v>
      </c>
      <c r="R1" s="38" t="s">
        <v>132</v>
      </c>
    </row>
    <row r="2" spans="11:18" x14ac:dyDescent="0.2">
      <c r="K2" s="28">
        <v>1</v>
      </c>
      <c r="L2" s="28">
        <v>70</v>
      </c>
      <c r="M2" s="28">
        <f>L2+$D$23</f>
        <v>105</v>
      </c>
      <c r="N2" s="28" t="str">
        <f>TEXT(L2,"$0.00")&amp;" up to "&amp;TEXT(M2,"$0.00")</f>
        <v>$70.00 up to $105.00</v>
      </c>
      <c r="O2" s="28">
        <f>COUNTIFS(tSkiPurch[Purchased ($)],"&lt;"&amp;M2,tSkiPurch[Purchased ($)],"&gt;="&amp;L2)</f>
        <v>4</v>
      </c>
      <c r="P2" s="35">
        <f t="shared" ref="P2:P7" si="0">O2/$O$9</f>
        <v>9.0909090909090912E-2</v>
      </c>
      <c r="Q2" s="28">
        <f>SUM($O$2:O2)</f>
        <v>4</v>
      </c>
      <c r="R2" s="57" t="e">
        <f>Q2/$Q$8</f>
        <v>#DIV/0!</v>
      </c>
    </row>
    <row r="3" spans="11:18" x14ac:dyDescent="0.2">
      <c r="K3" s="28">
        <v>2</v>
      </c>
      <c r="L3" s="28">
        <f>M2</f>
        <v>105</v>
      </c>
      <c r="M3" s="28">
        <f t="shared" ref="M3:M7" si="1">L3+$D$23</f>
        <v>140</v>
      </c>
      <c r="N3" s="28" t="str">
        <f t="shared" ref="N3:N7" si="2">TEXT(L3,"$0.00")&amp;" up to "&amp;TEXT(M3,"$0.00")</f>
        <v>$105.00 up to $140.00</v>
      </c>
      <c r="O3" s="28">
        <f>COUNTIFS(tSkiPurch[Purchased ($)],"&lt;"&amp;M3,tSkiPurch[Purchased ($)],"&gt;="&amp;L3)</f>
        <v>17</v>
      </c>
      <c r="P3" s="35">
        <f t="shared" si="0"/>
        <v>0.38636363636363635</v>
      </c>
      <c r="Q3" s="28">
        <f>SUM($O$2:O3)</f>
        <v>21</v>
      </c>
      <c r="R3" s="57" t="e">
        <f t="shared" ref="R3:R7" si="3">Q3/$Q$8</f>
        <v>#DIV/0!</v>
      </c>
    </row>
    <row r="4" spans="11:18" x14ac:dyDescent="0.2">
      <c r="K4" s="28">
        <v>3</v>
      </c>
      <c r="L4" s="28">
        <f t="shared" ref="L4:L7" si="4">M3</f>
        <v>140</v>
      </c>
      <c r="M4" s="28">
        <f t="shared" si="1"/>
        <v>175</v>
      </c>
      <c r="N4" s="28" t="str">
        <f t="shared" si="2"/>
        <v>$140.00 up to $175.00</v>
      </c>
      <c r="O4" s="28">
        <f>COUNTIFS(tSkiPurch[Purchased ($)],"&lt;"&amp;M4,tSkiPurch[Purchased ($)],"&gt;="&amp;L4)</f>
        <v>14</v>
      </c>
      <c r="P4" s="35">
        <f t="shared" si="0"/>
        <v>0.31818181818181818</v>
      </c>
      <c r="Q4" s="28">
        <f>SUM($O$2:O4)</f>
        <v>35</v>
      </c>
      <c r="R4" s="57" t="e">
        <f t="shared" si="3"/>
        <v>#DIV/0!</v>
      </c>
    </row>
    <row r="5" spans="11:18" x14ac:dyDescent="0.2">
      <c r="K5" s="28">
        <v>4</v>
      </c>
      <c r="L5" s="28">
        <f t="shared" si="4"/>
        <v>175</v>
      </c>
      <c r="M5" s="28">
        <f t="shared" si="1"/>
        <v>210</v>
      </c>
      <c r="N5" s="28" t="str">
        <f t="shared" si="2"/>
        <v>$175.00 up to $210.00</v>
      </c>
      <c r="O5" s="28">
        <f>COUNTIFS(tSkiPurch[Purchased ($)],"&lt;"&amp;M5,tSkiPurch[Purchased ($)],"&gt;="&amp;L5)</f>
        <v>2</v>
      </c>
      <c r="P5" s="35">
        <f t="shared" si="0"/>
        <v>4.5454545454545456E-2</v>
      </c>
      <c r="Q5" s="28">
        <f>SUM($O$2:O5)</f>
        <v>37</v>
      </c>
      <c r="R5" s="57" t="e">
        <f t="shared" si="3"/>
        <v>#DIV/0!</v>
      </c>
    </row>
    <row r="6" spans="11:18" x14ac:dyDescent="0.2">
      <c r="K6" s="28">
        <v>5</v>
      </c>
      <c r="L6" s="28">
        <f t="shared" si="4"/>
        <v>210</v>
      </c>
      <c r="M6" s="28">
        <f t="shared" si="1"/>
        <v>245</v>
      </c>
      <c r="N6" s="28" t="str">
        <f t="shared" si="2"/>
        <v>$210.00 up to $245.00</v>
      </c>
      <c r="O6" s="28">
        <f>COUNTIFS(tSkiPurch[Purchased ($)],"&lt;"&amp;M6,tSkiPurch[Purchased ($)],"&gt;="&amp;L6)</f>
        <v>6</v>
      </c>
      <c r="P6" s="35">
        <f t="shared" si="0"/>
        <v>0.13636363636363635</v>
      </c>
      <c r="Q6" s="28">
        <f>SUM($O$2:O6)</f>
        <v>43</v>
      </c>
      <c r="R6" s="57" t="e">
        <f t="shared" si="3"/>
        <v>#DIV/0!</v>
      </c>
    </row>
    <row r="7" spans="11:18" x14ac:dyDescent="0.2">
      <c r="K7" s="28">
        <v>6</v>
      </c>
      <c r="L7" s="28">
        <f t="shared" si="4"/>
        <v>245</v>
      </c>
      <c r="M7" s="28">
        <f t="shared" si="1"/>
        <v>280</v>
      </c>
      <c r="N7" s="28" t="str">
        <f t="shared" si="2"/>
        <v>$245.00 up to $280.00</v>
      </c>
      <c r="O7" s="28">
        <f>COUNTIFS(tSkiPurch[Purchased ($)],"&lt;"&amp;M7,tSkiPurch[Purchased ($)],"&gt;="&amp;L7)</f>
        <v>1</v>
      </c>
      <c r="P7" s="35">
        <f t="shared" si="0"/>
        <v>2.2727272727272728E-2</v>
      </c>
      <c r="Q7" s="28">
        <f>SUM($O$2:O7)</f>
        <v>44</v>
      </c>
      <c r="R7" s="57" t="e">
        <f t="shared" si="3"/>
        <v>#DIV/0!</v>
      </c>
    </row>
    <row r="8" spans="11:18" x14ac:dyDescent="0.2">
      <c r="K8" s="28"/>
      <c r="L8" s="28"/>
      <c r="M8" s="28"/>
      <c r="N8" s="28"/>
      <c r="O8" s="28"/>
      <c r="P8" s="35"/>
      <c r="Q8" s="28"/>
      <c r="R8" s="57"/>
    </row>
    <row r="9" spans="11:18" x14ac:dyDescent="0.2">
      <c r="O9" s="31">
        <f>SUM(O2:O8)</f>
        <v>44</v>
      </c>
      <c r="P9" s="58">
        <f>O9/$O$9</f>
        <v>1</v>
      </c>
    </row>
    <row r="18" spans="1:8" x14ac:dyDescent="0.2">
      <c r="A18" t="s">
        <v>130</v>
      </c>
      <c r="B18" t="s">
        <v>131</v>
      </c>
      <c r="C18" s="32" t="s">
        <v>127</v>
      </c>
      <c r="D18">
        <f>COUNT(tSkiPurch[Purchased ($)])</f>
        <v>44</v>
      </c>
      <c r="G18" s="56" t="s">
        <v>72</v>
      </c>
      <c r="H18" s="36">
        <f>D23</f>
        <v>35</v>
      </c>
    </row>
    <row r="19" spans="1:8" x14ac:dyDescent="0.2">
      <c r="A19">
        <v>1</v>
      </c>
      <c r="B19">
        <v>140</v>
      </c>
      <c r="C19" s="32" t="s">
        <v>122</v>
      </c>
      <c r="D19">
        <f>MIN(tSkiPurch[Purchased ($)])</f>
        <v>82</v>
      </c>
      <c r="G19" s="56" t="s">
        <v>77</v>
      </c>
    </row>
    <row r="20" spans="1:8" x14ac:dyDescent="0.2">
      <c r="A20">
        <v>2</v>
      </c>
      <c r="B20">
        <v>82</v>
      </c>
      <c r="C20" s="32" t="s">
        <v>123</v>
      </c>
      <c r="D20">
        <f>MAX(tSkiPurch[Purchased ($)])</f>
        <v>265</v>
      </c>
    </row>
    <row r="21" spans="1:8" x14ac:dyDescent="0.2">
      <c r="A21">
        <v>3</v>
      </c>
      <c r="B21">
        <v>265</v>
      </c>
      <c r="C21" s="32" t="s">
        <v>124</v>
      </c>
      <c r="D21">
        <f>D20-D19</f>
        <v>183</v>
      </c>
    </row>
    <row r="22" spans="1:8" x14ac:dyDescent="0.2">
      <c r="A22">
        <v>4</v>
      </c>
      <c r="B22">
        <v>168</v>
      </c>
      <c r="C22" s="32" t="s">
        <v>125</v>
      </c>
      <c r="D22">
        <v>7</v>
      </c>
    </row>
    <row r="23" spans="1:8" x14ac:dyDescent="0.2">
      <c r="A23">
        <v>5</v>
      </c>
      <c r="B23">
        <v>90</v>
      </c>
      <c r="C23" s="32" t="s">
        <v>126</v>
      </c>
      <c r="D23">
        <v>35</v>
      </c>
      <c r="E23">
        <f>D21/D22</f>
        <v>26.142857142857142</v>
      </c>
    </row>
    <row r="24" spans="1:8" x14ac:dyDescent="0.2">
      <c r="A24">
        <v>6</v>
      </c>
      <c r="B24">
        <v>114</v>
      </c>
    </row>
    <row r="25" spans="1:8" x14ac:dyDescent="0.2">
      <c r="A25">
        <v>7</v>
      </c>
      <c r="B25">
        <v>172</v>
      </c>
      <c r="C25" s="28" t="s">
        <v>70</v>
      </c>
      <c r="D25" s="28" t="s">
        <v>71</v>
      </c>
      <c r="E25" s="28" t="s">
        <v>129</v>
      </c>
    </row>
    <row r="26" spans="1:8" x14ac:dyDescent="0.2">
      <c r="A26">
        <v>8</v>
      </c>
      <c r="B26">
        <v>230</v>
      </c>
      <c r="C26" s="28">
        <v>0</v>
      </c>
      <c r="D26" s="28">
        <f t="shared" ref="D26:D39" si="5">2^C26</f>
        <v>1</v>
      </c>
      <c r="E26" t="b">
        <f>D26&gt;=$D$18</f>
        <v>0</v>
      </c>
    </row>
    <row r="27" spans="1:8" x14ac:dyDescent="0.2">
      <c r="A27">
        <v>9</v>
      </c>
      <c r="B27">
        <v>142</v>
      </c>
      <c r="C27" s="28">
        <v>1</v>
      </c>
      <c r="D27" s="28">
        <f t="shared" si="5"/>
        <v>2</v>
      </c>
      <c r="E27" t="b">
        <f t="shared" ref="E27:E39" si="6">D27&gt;=$D$18</f>
        <v>0</v>
      </c>
    </row>
    <row r="28" spans="1:8" x14ac:dyDescent="0.2">
      <c r="A28">
        <v>10</v>
      </c>
      <c r="B28">
        <v>86</v>
      </c>
      <c r="C28" s="28">
        <v>2</v>
      </c>
      <c r="D28" s="28">
        <f t="shared" si="5"/>
        <v>4</v>
      </c>
      <c r="E28" t="b">
        <f t="shared" si="6"/>
        <v>0</v>
      </c>
    </row>
    <row r="29" spans="1:8" x14ac:dyDescent="0.2">
      <c r="A29">
        <v>11</v>
      </c>
      <c r="B29">
        <v>125</v>
      </c>
      <c r="C29" s="28">
        <v>3</v>
      </c>
      <c r="D29" s="28">
        <f t="shared" si="5"/>
        <v>8</v>
      </c>
      <c r="E29" t="b">
        <f t="shared" si="6"/>
        <v>0</v>
      </c>
    </row>
    <row r="30" spans="1:8" x14ac:dyDescent="0.2">
      <c r="A30">
        <v>12</v>
      </c>
      <c r="B30">
        <v>235</v>
      </c>
      <c r="C30" s="49">
        <v>4</v>
      </c>
      <c r="D30" s="49">
        <f t="shared" si="5"/>
        <v>16</v>
      </c>
      <c r="E30" t="b">
        <f t="shared" si="6"/>
        <v>0</v>
      </c>
    </row>
    <row r="31" spans="1:8" x14ac:dyDescent="0.2">
      <c r="A31">
        <v>13</v>
      </c>
      <c r="B31">
        <v>212</v>
      </c>
      <c r="C31" s="49">
        <v>5</v>
      </c>
      <c r="D31" s="49">
        <f t="shared" si="5"/>
        <v>32</v>
      </c>
      <c r="E31" t="b">
        <f t="shared" si="6"/>
        <v>0</v>
      </c>
    </row>
    <row r="32" spans="1:8" x14ac:dyDescent="0.2">
      <c r="A32">
        <v>14</v>
      </c>
      <c r="B32">
        <v>171</v>
      </c>
      <c r="C32" s="49">
        <v>6</v>
      </c>
      <c r="D32" s="49">
        <f t="shared" si="5"/>
        <v>64</v>
      </c>
      <c r="E32" t="b">
        <f t="shared" si="6"/>
        <v>1</v>
      </c>
    </row>
    <row r="33" spans="1:14" x14ac:dyDescent="0.2">
      <c r="A33">
        <v>15</v>
      </c>
      <c r="B33">
        <v>149</v>
      </c>
      <c r="C33" s="28">
        <v>7</v>
      </c>
      <c r="D33" s="28">
        <f t="shared" si="5"/>
        <v>128</v>
      </c>
      <c r="E33" t="b">
        <f t="shared" si="6"/>
        <v>1</v>
      </c>
    </row>
    <row r="34" spans="1:14" x14ac:dyDescent="0.2">
      <c r="A34">
        <v>16</v>
      </c>
      <c r="B34">
        <v>156</v>
      </c>
      <c r="C34" s="28">
        <v>8</v>
      </c>
      <c r="D34" s="28">
        <f t="shared" si="5"/>
        <v>256</v>
      </c>
      <c r="E34" t="b">
        <f t="shared" si="6"/>
        <v>1</v>
      </c>
    </row>
    <row r="35" spans="1:14" x14ac:dyDescent="0.2">
      <c r="A35">
        <v>17</v>
      </c>
      <c r="B35">
        <v>162</v>
      </c>
      <c r="C35" s="28">
        <v>9</v>
      </c>
      <c r="D35" s="28">
        <f t="shared" si="5"/>
        <v>512</v>
      </c>
      <c r="E35" t="b">
        <f t="shared" si="6"/>
        <v>1</v>
      </c>
    </row>
    <row r="36" spans="1:14" x14ac:dyDescent="0.2">
      <c r="A36">
        <v>18</v>
      </c>
      <c r="B36">
        <v>118</v>
      </c>
      <c r="C36" s="28">
        <v>10</v>
      </c>
      <c r="D36" s="28">
        <f t="shared" si="5"/>
        <v>1024</v>
      </c>
      <c r="E36" t="b">
        <f t="shared" si="6"/>
        <v>1</v>
      </c>
    </row>
    <row r="37" spans="1:14" x14ac:dyDescent="0.2">
      <c r="A37">
        <v>19</v>
      </c>
      <c r="B37">
        <v>139</v>
      </c>
      <c r="C37" s="28">
        <v>11</v>
      </c>
      <c r="D37" s="28">
        <f t="shared" si="5"/>
        <v>2048</v>
      </c>
      <c r="E37" t="b">
        <f t="shared" si="6"/>
        <v>1</v>
      </c>
      <c r="G37" s="56" t="s">
        <v>83</v>
      </c>
      <c r="H37" s="84" t="s">
        <v>134</v>
      </c>
      <c r="I37" s="84"/>
      <c r="J37" s="84"/>
      <c r="K37" s="84"/>
      <c r="L37" s="84"/>
      <c r="M37" s="84"/>
      <c r="N37" s="84"/>
    </row>
    <row r="38" spans="1:14" x14ac:dyDescent="0.2">
      <c r="A38">
        <v>20</v>
      </c>
      <c r="B38">
        <v>149</v>
      </c>
      <c r="C38" s="28">
        <v>12</v>
      </c>
      <c r="D38" s="28">
        <f t="shared" si="5"/>
        <v>4096</v>
      </c>
      <c r="E38" t="b">
        <f t="shared" si="6"/>
        <v>1</v>
      </c>
      <c r="H38" s="84"/>
      <c r="I38" s="84"/>
      <c r="J38" s="84"/>
      <c r="K38" s="84"/>
      <c r="L38" s="84"/>
      <c r="M38" s="84"/>
      <c r="N38" s="84"/>
    </row>
    <row r="39" spans="1:14" x14ac:dyDescent="0.2">
      <c r="A39">
        <v>21</v>
      </c>
      <c r="B39">
        <v>132</v>
      </c>
      <c r="C39" s="28">
        <v>13</v>
      </c>
      <c r="D39" s="28">
        <f t="shared" si="5"/>
        <v>8192</v>
      </c>
      <c r="E39" t="b">
        <f t="shared" si="6"/>
        <v>1</v>
      </c>
    </row>
    <row r="40" spans="1:14" x14ac:dyDescent="0.2">
      <c r="A40">
        <v>22</v>
      </c>
      <c r="B40">
        <v>105</v>
      </c>
    </row>
    <row r="41" spans="1:14" x14ac:dyDescent="0.2">
      <c r="A41">
        <v>23</v>
      </c>
      <c r="B41">
        <v>162</v>
      </c>
    </row>
    <row r="42" spans="1:14" x14ac:dyDescent="0.2">
      <c r="A42">
        <v>24</v>
      </c>
      <c r="B42">
        <v>126</v>
      </c>
    </row>
    <row r="43" spans="1:14" x14ac:dyDescent="0.2">
      <c r="A43">
        <v>25</v>
      </c>
      <c r="B43">
        <v>216</v>
      </c>
    </row>
    <row r="44" spans="1:14" x14ac:dyDescent="0.2">
      <c r="A44">
        <v>26</v>
      </c>
      <c r="B44">
        <v>195</v>
      </c>
    </row>
    <row r="45" spans="1:14" x14ac:dyDescent="0.2">
      <c r="A45">
        <v>27</v>
      </c>
      <c r="B45">
        <v>127</v>
      </c>
    </row>
    <row r="46" spans="1:14" x14ac:dyDescent="0.2">
      <c r="A46">
        <v>28</v>
      </c>
      <c r="B46">
        <v>161</v>
      </c>
    </row>
    <row r="47" spans="1:14" x14ac:dyDescent="0.2">
      <c r="A47">
        <v>29</v>
      </c>
      <c r="B47">
        <v>135</v>
      </c>
    </row>
    <row r="48" spans="1:14" x14ac:dyDescent="0.2">
      <c r="A48">
        <v>30</v>
      </c>
      <c r="B48">
        <v>172</v>
      </c>
    </row>
    <row r="49" spans="1:2" x14ac:dyDescent="0.2">
      <c r="A49">
        <v>31</v>
      </c>
      <c r="B49">
        <v>220</v>
      </c>
    </row>
    <row r="50" spans="1:2" x14ac:dyDescent="0.2">
      <c r="A50">
        <v>32</v>
      </c>
      <c r="B50">
        <v>220</v>
      </c>
    </row>
    <row r="51" spans="1:2" x14ac:dyDescent="0.2">
      <c r="A51">
        <v>33</v>
      </c>
      <c r="B51">
        <v>129</v>
      </c>
    </row>
    <row r="52" spans="1:2" x14ac:dyDescent="0.2">
      <c r="A52">
        <v>34</v>
      </c>
      <c r="B52">
        <v>87</v>
      </c>
    </row>
    <row r="53" spans="1:2" x14ac:dyDescent="0.2">
      <c r="A53">
        <v>35</v>
      </c>
      <c r="B53">
        <v>128</v>
      </c>
    </row>
    <row r="54" spans="1:2" x14ac:dyDescent="0.2">
      <c r="A54">
        <v>36</v>
      </c>
      <c r="B54">
        <v>126</v>
      </c>
    </row>
    <row r="55" spans="1:2" x14ac:dyDescent="0.2">
      <c r="A55">
        <v>37</v>
      </c>
      <c r="B55">
        <v>175</v>
      </c>
    </row>
    <row r="56" spans="1:2" x14ac:dyDescent="0.2">
      <c r="A56">
        <v>38</v>
      </c>
      <c r="B56">
        <v>127</v>
      </c>
    </row>
    <row r="57" spans="1:2" x14ac:dyDescent="0.2">
      <c r="A57">
        <v>39</v>
      </c>
      <c r="B57">
        <v>149</v>
      </c>
    </row>
    <row r="58" spans="1:2" x14ac:dyDescent="0.2">
      <c r="A58">
        <v>40</v>
      </c>
      <c r="B58">
        <v>126</v>
      </c>
    </row>
    <row r="59" spans="1:2" x14ac:dyDescent="0.2">
      <c r="A59">
        <v>41</v>
      </c>
      <c r="B59">
        <v>126</v>
      </c>
    </row>
    <row r="60" spans="1:2" x14ac:dyDescent="0.2">
      <c r="A60">
        <v>42</v>
      </c>
      <c r="B60">
        <v>118</v>
      </c>
    </row>
    <row r="61" spans="1:2" x14ac:dyDescent="0.2">
      <c r="A61">
        <v>43</v>
      </c>
      <c r="B61">
        <v>172</v>
      </c>
    </row>
    <row r="62" spans="1:2" x14ac:dyDescent="0.2">
      <c r="A62">
        <v>44</v>
      </c>
      <c r="B62">
        <v>126</v>
      </c>
    </row>
  </sheetData>
  <mergeCells count="1">
    <mergeCell ref="H37:N3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750C-5B89-4ACB-B59D-FD99DFABD806}">
  <dimension ref="A29:K33"/>
  <sheetViews>
    <sheetView workbookViewId="0">
      <selection activeCell="A29" sqref="A29:K33"/>
    </sheetView>
  </sheetViews>
  <sheetFormatPr defaultRowHeight="12" x14ac:dyDescent="0.2"/>
  <cols>
    <col min="1" max="1" width="2.42578125" bestFit="1" customWidth="1"/>
  </cols>
  <sheetData>
    <row r="29" spans="1:11" x14ac:dyDescent="0.2">
      <c r="A29" s="56" t="s">
        <v>72</v>
      </c>
      <c r="B29" s="36" t="s">
        <v>135</v>
      </c>
      <c r="C29" s="36"/>
      <c r="D29" s="36"/>
      <c r="E29" s="36"/>
      <c r="F29" s="36"/>
      <c r="G29" s="36"/>
      <c r="H29" s="36"/>
      <c r="I29" s="36"/>
      <c r="J29" s="36"/>
      <c r="K29" s="36"/>
    </row>
    <row r="30" spans="1:11" x14ac:dyDescent="0.2">
      <c r="A30" s="56" t="s">
        <v>77</v>
      </c>
      <c r="B30" s="36">
        <v>700</v>
      </c>
      <c r="C30" s="36"/>
      <c r="D30" s="36"/>
      <c r="E30" s="36"/>
      <c r="F30" s="36"/>
      <c r="G30" s="36"/>
      <c r="H30" s="36"/>
      <c r="I30" s="36"/>
      <c r="J30" s="36"/>
      <c r="K30" s="36"/>
    </row>
    <row r="31" spans="1:11" ht="12" customHeight="1" x14ac:dyDescent="0.2">
      <c r="A31" s="56" t="s">
        <v>83</v>
      </c>
      <c r="B31" s="86" t="s">
        <v>136</v>
      </c>
      <c r="C31" s="86"/>
      <c r="D31" s="86"/>
      <c r="E31" s="86"/>
      <c r="F31" s="86"/>
      <c r="G31" s="86"/>
      <c r="H31" s="86"/>
      <c r="I31" s="86"/>
      <c r="J31" s="86"/>
      <c r="K31" s="86"/>
    </row>
    <row r="32" spans="1:11" x14ac:dyDescent="0.2">
      <c r="B32" s="86"/>
      <c r="C32" s="86"/>
      <c r="D32" s="86"/>
      <c r="E32" s="86"/>
      <c r="F32" s="86"/>
      <c r="G32" s="86"/>
      <c r="H32" s="86"/>
      <c r="I32" s="86"/>
      <c r="J32" s="86"/>
      <c r="K32" s="86"/>
    </row>
    <row r="33" spans="2:11" x14ac:dyDescent="0.2">
      <c r="B33" s="86"/>
      <c r="C33" s="86"/>
      <c r="D33" s="86"/>
      <c r="E33" s="86"/>
      <c r="F33" s="86"/>
      <c r="G33" s="86"/>
      <c r="H33" s="86"/>
      <c r="I33" s="86"/>
      <c r="J33" s="86"/>
      <c r="K33" s="86"/>
    </row>
  </sheetData>
  <mergeCells count="1">
    <mergeCell ref="B31: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4855-20CE-4BBB-892C-2456E2815919}">
  <dimension ref="A11:B21"/>
  <sheetViews>
    <sheetView workbookViewId="0">
      <selection activeCell="A11" sqref="A11:A16"/>
    </sheetView>
  </sheetViews>
  <sheetFormatPr defaultRowHeight="12" x14ac:dyDescent="0.2"/>
  <sheetData>
    <row r="11" spans="1:2" x14ac:dyDescent="0.2">
      <c r="A11" s="33" t="s">
        <v>72</v>
      </c>
      <c r="B11" t="s">
        <v>4</v>
      </c>
    </row>
    <row r="12" spans="1:2" x14ac:dyDescent="0.2">
      <c r="A12" s="33" t="s">
        <v>77</v>
      </c>
      <c r="B12" t="s">
        <v>6</v>
      </c>
    </row>
    <row r="13" spans="1:2" x14ac:dyDescent="0.2">
      <c r="A13" s="33" t="s">
        <v>83</v>
      </c>
      <c r="B13" t="s">
        <v>1</v>
      </c>
    </row>
    <row r="14" spans="1:2" x14ac:dyDescent="0.2">
      <c r="A14" s="33" t="s">
        <v>89</v>
      </c>
      <c r="B14" t="s">
        <v>1</v>
      </c>
    </row>
    <row r="15" spans="1:2" x14ac:dyDescent="0.2">
      <c r="A15" s="33" t="s">
        <v>92</v>
      </c>
      <c r="B15" t="s">
        <v>2</v>
      </c>
    </row>
    <row r="16" spans="1:2" x14ac:dyDescent="0.2">
      <c r="A16" s="33" t="s">
        <v>107</v>
      </c>
      <c r="B16" t="s">
        <v>6</v>
      </c>
    </row>
    <row r="18" spans="1:2" x14ac:dyDescent="0.2">
      <c r="A18" s="1" t="s">
        <v>1</v>
      </c>
      <c r="B18" t="s">
        <v>8</v>
      </c>
    </row>
    <row r="19" spans="1:2" x14ac:dyDescent="0.2">
      <c r="A19" s="1" t="s">
        <v>2</v>
      </c>
      <c r="B19" t="s">
        <v>3</v>
      </c>
    </row>
    <row r="20" spans="1:2" x14ac:dyDescent="0.2">
      <c r="A20" s="1" t="s">
        <v>4</v>
      </c>
      <c r="B20" t="s">
        <v>5</v>
      </c>
    </row>
    <row r="21" spans="1:2" x14ac:dyDescent="0.2">
      <c r="A21" s="1" t="s">
        <v>6</v>
      </c>
      <c r="B21" t="s">
        <v>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4494-3012-400D-9921-76BF67598EAB}">
  <dimension ref="A8:B10"/>
  <sheetViews>
    <sheetView workbookViewId="0">
      <selection activeCell="A8" sqref="A8:A10"/>
    </sheetView>
  </sheetViews>
  <sheetFormatPr defaultRowHeight="12" x14ac:dyDescent="0.2"/>
  <sheetData>
    <row r="8" spans="1:2" x14ac:dyDescent="0.2">
      <c r="A8" s="33" t="s">
        <v>72</v>
      </c>
      <c r="B8" t="s">
        <v>2</v>
      </c>
    </row>
    <row r="9" spans="1:2" x14ac:dyDescent="0.2">
      <c r="A9" s="33" t="s">
        <v>77</v>
      </c>
      <c r="B9" t="s">
        <v>6</v>
      </c>
    </row>
    <row r="10" spans="1:2" x14ac:dyDescent="0.2">
      <c r="A10" s="33" t="s">
        <v>83</v>
      </c>
      <c r="B10" t="s">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30BE-87F3-4D46-BC19-D0D13D0B8BB0}">
  <dimension ref="A6:B7"/>
  <sheetViews>
    <sheetView workbookViewId="0">
      <selection activeCell="B7" sqref="B7"/>
    </sheetView>
  </sheetViews>
  <sheetFormatPr defaultRowHeight="12" x14ac:dyDescent="0.2"/>
  <sheetData>
    <row r="6" spans="1:2" x14ac:dyDescent="0.2">
      <c r="A6" t="s">
        <v>10</v>
      </c>
      <c r="B6" t="s">
        <v>12</v>
      </c>
    </row>
    <row r="7" spans="1:2" x14ac:dyDescent="0.2">
      <c r="A7" t="s">
        <v>11</v>
      </c>
      <c r="B7" t="s">
        <v>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5B7E-77F5-4092-8586-A4BE2DB72A5F}">
  <dimension ref="A1:I39"/>
  <sheetViews>
    <sheetView workbookViewId="0">
      <selection activeCell="B25" sqref="B25"/>
    </sheetView>
  </sheetViews>
  <sheetFormatPr defaultRowHeight="12" x14ac:dyDescent="0.2"/>
  <cols>
    <col min="1" max="1" width="11.7109375" customWidth="1"/>
    <col min="2" max="2" width="31.5703125" customWidth="1"/>
    <col min="3" max="3" width="17.28515625" bestFit="1" customWidth="1"/>
  </cols>
  <sheetData>
    <row r="1" spans="7:9" x14ac:dyDescent="0.2">
      <c r="G1" t="s">
        <v>29</v>
      </c>
    </row>
    <row r="2" spans="7:9" x14ac:dyDescent="0.2">
      <c r="H2" t="s">
        <v>30</v>
      </c>
    </row>
    <row r="3" spans="7:9" x14ac:dyDescent="0.2">
      <c r="H3" t="s">
        <v>31</v>
      </c>
    </row>
    <row r="5" spans="7:9" x14ac:dyDescent="0.2">
      <c r="G5" t="s">
        <v>32</v>
      </c>
    </row>
    <row r="6" spans="7:9" x14ac:dyDescent="0.2">
      <c r="H6" t="s">
        <v>33</v>
      </c>
    </row>
    <row r="7" spans="7:9" x14ac:dyDescent="0.2">
      <c r="H7" t="s">
        <v>34</v>
      </c>
    </row>
    <row r="9" spans="7:9" x14ac:dyDescent="0.2">
      <c r="G9" s="1" t="s">
        <v>1</v>
      </c>
      <c r="H9" t="s">
        <v>35</v>
      </c>
    </row>
    <row r="10" spans="7:9" x14ac:dyDescent="0.2">
      <c r="G10" s="1" t="s">
        <v>2</v>
      </c>
      <c r="H10" t="s">
        <v>35</v>
      </c>
    </row>
    <row r="11" spans="7:9" x14ac:dyDescent="0.2">
      <c r="G11" s="1" t="s">
        <v>4</v>
      </c>
      <c r="H11" t="s">
        <v>36</v>
      </c>
      <c r="I11" t="s">
        <v>8</v>
      </c>
    </row>
    <row r="12" spans="7:9" x14ac:dyDescent="0.2">
      <c r="G12" s="1" t="s">
        <v>6</v>
      </c>
      <c r="I12" t="s">
        <v>3</v>
      </c>
    </row>
    <row r="13" spans="7:9" x14ac:dyDescent="0.2">
      <c r="I13" t="s">
        <v>5</v>
      </c>
    </row>
    <row r="14" spans="7:9" x14ac:dyDescent="0.2">
      <c r="G14" s="1" t="s">
        <v>37</v>
      </c>
      <c r="I14" t="s">
        <v>7</v>
      </c>
    </row>
    <row r="15" spans="7:9" x14ac:dyDescent="0.2">
      <c r="H15" t="s">
        <v>38</v>
      </c>
    </row>
    <row r="16" spans="7:9" x14ac:dyDescent="0.2">
      <c r="H16" t="s">
        <v>41</v>
      </c>
    </row>
    <row r="18" spans="1:8" x14ac:dyDescent="0.2">
      <c r="G18" s="1" t="s">
        <v>39</v>
      </c>
    </row>
    <row r="19" spans="1:8" x14ac:dyDescent="0.2">
      <c r="H19" t="s">
        <v>40</v>
      </c>
    </row>
    <row r="20" spans="1:8" x14ac:dyDescent="0.2">
      <c r="H20" t="s">
        <v>42</v>
      </c>
    </row>
    <row r="22" spans="1:8" ht="12.75" thickBot="1" x14ac:dyDescent="0.25"/>
    <row r="23" spans="1:8" ht="12.75" thickBot="1" x14ac:dyDescent="0.25">
      <c r="A23" s="2"/>
      <c r="B23" s="6" t="s">
        <v>16</v>
      </c>
      <c r="C23" s="6" t="s">
        <v>17</v>
      </c>
    </row>
    <row r="24" spans="1:8" x14ac:dyDescent="0.2">
      <c r="A24" s="6" t="s">
        <v>14</v>
      </c>
      <c r="B24" s="7" t="s">
        <v>21</v>
      </c>
      <c r="C24" s="7"/>
    </row>
    <row r="25" spans="1:8" x14ac:dyDescent="0.2">
      <c r="A25" s="3"/>
      <c r="B25" s="4" t="s">
        <v>23</v>
      </c>
      <c r="C25" s="4"/>
    </row>
    <row r="26" spans="1:8" x14ac:dyDescent="0.2">
      <c r="A26" s="3"/>
      <c r="B26" s="4" t="s">
        <v>27</v>
      </c>
      <c r="C26" s="4"/>
    </row>
    <row r="27" spans="1:8" ht="12.75" thickBot="1" x14ac:dyDescent="0.25">
      <c r="A27" s="8"/>
      <c r="B27" s="5" t="s">
        <v>26</v>
      </c>
      <c r="C27" s="5"/>
    </row>
    <row r="28" spans="1:8" x14ac:dyDescent="0.2">
      <c r="A28" s="3" t="s">
        <v>15</v>
      </c>
      <c r="B28" s="4" t="s">
        <v>22</v>
      </c>
      <c r="C28" s="4" t="s">
        <v>20</v>
      </c>
    </row>
    <row r="29" spans="1:8" x14ac:dyDescent="0.2">
      <c r="A29" s="4"/>
      <c r="B29" s="4" t="s">
        <v>25</v>
      </c>
      <c r="C29" s="4" t="s">
        <v>24</v>
      </c>
    </row>
    <row r="30" spans="1:8" ht="12.75" thickBot="1" x14ac:dyDescent="0.25">
      <c r="A30" s="5"/>
      <c r="B30" s="5" t="s">
        <v>28</v>
      </c>
      <c r="C30" s="5"/>
    </row>
    <row r="31" spans="1:8" ht="12.75" thickBot="1" x14ac:dyDescent="0.25"/>
    <row r="32" spans="1:8" ht="12.75" thickBot="1" x14ac:dyDescent="0.25">
      <c r="A32" s="9"/>
      <c r="B32" s="6" t="s">
        <v>18</v>
      </c>
      <c r="C32" s="10" t="s">
        <v>19</v>
      </c>
    </row>
    <row r="33" spans="1:3" ht="12.75" thickBot="1" x14ac:dyDescent="0.25">
      <c r="A33" s="16" t="s">
        <v>1</v>
      </c>
      <c r="B33" s="20" t="s">
        <v>21</v>
      </c>
      <c r="C33" s="17"/>
    </row>
    <row r="34" spans="1:3" x14ac:dyDescent="0.2">
      <c r="A34" s="9" t="s">
        <v>2</v>
      </c>
      <c r="B34" s="7" t="s">
        <v>23</v>
      </c>
      <c r="C34" s="18"/>
    </row>
    <row r="35" spans="1:3" ht="12.75" thickBot="1" x14ac:dyDescent="0.25">
      <c r="A35" s="19"/>
      <c r="B35" s="5" t="s">
        <v>26</v>
      </c>
      <c r="C35" s="15"/>
    </row>
    <row r="36" spans="1:3" ht="12.75" thickBot="1" x14ac:dyDescent="0.25">
      <c r="A36" s="16" t="s">
        <v>4</v>
      </c>
      <c r="B36" s="20" t="s">
        <v>25</v>
      </c>
      <c r="C36" s="17" t="s">
        <v>24</v>
      </c>
    </row>
    <row r="37" spans="1:3" x14ac:dyDescent="0.2">
      <c r="A37" s="11" t="s">
        <v>6</v>
      </c>
      <c r="B37" s="4" t="s">
        <v>22</v>
      </c>
      <c r="C37" s="12" t="s">
        <v>20</v>
      </c>
    </row>
    <row r="38" spans="1:3" x14ac:dyDescent="0.2">
      <c r="A38" s="13"/>
      <c r="B38" s="4" t="s">
        <v>28</v>
      </c>
      <c r="C38" s="12"/>
    </row>
    <row r="39" spans="1:3" ht="12.75" thickBot="1" x14ac:dyDescent="0.25">
      <c r="A39" s="14"/>
      <c r="B39" s="5"/>
      <c r="C39" s="15"/>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FC8-7B3D-44ED-A5A0-9EA451DDBB99}">
  <dimension ref="A1:U106"/>
  <sheetViews>
    <sheetView workbookViewId="0">
      <selection activeCell="A19" sqref="A19"/>
    </sheetView>
  </sheetViews>
  <sheetFormatPr defaultRowHeight="12" x14ac:dyDescent="0.2"/>
  <cols>
    <col min="1" max="1" width="2.42578125" bestFit="1" customWidth="1"/>
    <col min="2" max="2" width="25.140625" bestFit="1" customWidth="1"/>
    <col min="3" max="3" width="12.7109375" customWidth="1"/>
    <col min="4" max="4" width="11" customWidth="1"/>
    <col min="5" max="5" width="10" bestFit="1" customWidth="1"/>
    <col min="7" max="7" width="2.5703125" customWidth="1"/>
    <col min="8" max="8" width="13.28515625" bestFit="1" customWidth="1"/>
    <col min="9" max="10" width="10" bestFit="1" customWidth="1"/>
    <col min="11" max="11" width="9.140625" bestFit="1" customWidth="1"/>
    <col min="12" max="12" width="7.42578125" bestFit="1" customWidth="1"/>
    <col min="13" max="13" width="2.85546875" customWidth="1"/>
    <col min="14" max="14" width="14" customWidth="1"/>
    <col min="15" max="16" width="10" customWidth="1"/>
    <col min="17" max="17" width="12.28515625" customWidth="1"/>
    <col min="18" max="18" width="12.140625" customWidth="1"/>
    <col min="19" max="20" width="10" bestFit="1" customWidth="1"/>
    <col min="21" max="21" width="12.28515625" customWidth="1"/>
    <col min="22" max="23" width="10" bestFit="1" customWidth="1"/>
  </cols>
  <sheetData>
    <row r="1" spans="1:21" ht="24" x14ac:dyDescent="0.2">
      <c r="P1" s="31" t="s">
        <v>46</v>
      </c>
      <c r="Q1" s="55" t="s">
        <v>43</v>
      </c>
      <c r="R1" s="55">
        <v>2017</v>
      </c>
      <c r="S1" s="55">
        <v>2018</v>
      </c>
      <c r="T1" s="55" t="s">
        <v>151</v>
      </c>
      <c r="U1" s="55" t="s">
        <v>45</v>
      </c>
    </row>
    <row r="2" spans="1:21" x14ac:dyDescent="0.2">
      <c r="P2" s="28">
        <v>1</v>
      </c>
      <c r="Q2" s="62" t="s">
        <v>137</v>
      </c>
      <c r="R2" s="63">
        <v>2691493</v>
      </c>
      <c r="S2" s="63">
        <v>2654568</v>
      </c>
      <c r="T2" s="64">
        <f t="shared" ref="T2:T24" si="0">S2-R2</f>
        <v>-36925</v>
      </c>
      <c r="U2" s="65">
        <f t="shared" ref="U2:U24" si="1">T2/R2</f>
        <v>-1.3719151415218246E-2</v>
      </c>
    </row>
    <row r="3" spans="1:21" x14ac:dyDescent="0.2">
      <c r="P3" s="28">
        <v>2</v>
      </c>
      <c r="Q3" s="62" t="s">
        <v>47</v>
      </c>
      <c r="R3" s="63">
        <v>2334290</v>
      </c>
      <c r="S3" s="63">
        <v>2265590</v>
      </c>
      <c r="T3" s="64">
        <f t="shared" si="0"/>
        <v>-68700</v>
      </c>
      <c r="U3" s="65">
        <f t="shared" si="1"/>
        <v>-2.9430790518744459E-2</v>
      </c>
    </row>
    <row r="4" spans="1:21" x14ac:dyDescent="0.2">
      <c r="P4" s="28">
        <v>3</v>
      </c>
      <c r="Q4" s="62" t="s">
        <v>49</v>
      </c>
      <c r="R4" s="63">
        <v>2211533</v>
      </c>
      <c r="S4" s="63">
        <v>2205762</v>
      </c>
      <c r="T4" s="64">
        <f t="shared" si="0"/>
        <v>-5771</v>
      </c>
      <c r="U4" s="65">
        <f t="shared" si="1"/>
        <v>-2.6095020965095253E-3</v>
      </c>
    </row>
    <row r="5" spans="1:21" x14ac:dyDescent="0.2">
      <c r="P5" s="28">
        <v>4</v>
      </c>
      <c r="Q5" s="62" t="s">
        <v>138</v>
      </c>
      <c r="R5" s="63">
        <v>1887430</v>
      </c>
      <c r="S5" s="63">
        <v>2038684</v>
      </c>
      <c r="T5" s="64">
        <f t="shared" si="0"/>
        <v>151254</v>
      </c>
      <c r="U5" s="65">
        <f t="shared" si="1"/>
        <v>8.0137541524718803E-2</v>
      </c>
    </row>
    <row r="6" spans="1:21" x14ac:dyDescent="0.2">
      <c r="P6" s="28">
        <v>5</v>
      </c>
      <c r="Q6" s="62" t="s">
        <v>50</v>
      </c>
      <c r="R6" s="63">
        <v>1492112</v>
      </c>
      <c r="S6" s="63">
        <v>1449713</v>
      </c>
      <c r="T6" s="64">
        <f t="shared" si="0"/>
        <v>-42399</v>
      </c>
      <c r="U6" s="65">
        <f t="shared" si="1"/>
        <v>-2.8415427260152053E-2</v>
      </c>
    </row>
    <row r="7" spans="1:21" x14ac:dyDescent="0.2">
      <c r="P7" s="28">
        <v>6</v>
      </c>
      <c r="Q7" s="62" t="s">
        <v>51</v>
      </c>
      <c r="R7" s="63">
        <v>1455238</v>
      </c>
      <c r="S7" s="63">
        <v>1345157</v>
      </c>
      <c r="T7" s="64">
        <f t="shared" si="0"/>
        <v>-110081</v>
      </c>
      <c r="U7" s="65">
        <f t="shared" si="1"/>
        <v>-7.5644671180933973E-2</v>
      </c>
    </row>
    <row r="8" spans="1:21" x14ac:dyDescent="0.2">
      <c r="P8" s="28">
        <v>7</v>
      </c>
      <c r="Q8" s="62" t="s">
        <v>53</v>
      </c>
      <c r="R8" s="63">
        <v>584614</v>
      </c>
      <c r="S8" s="63">
        <v>615594</v>
      </c>
      <c r="T8" s="64">
        <f t="shared" si="0"/>
        <v>30980</v>
      </c>
      <c r="U8" s="65">
        <f t="shared" si="1"/>
        <v>5.299223077107288E-2</v>
      </c>
    </row>
    <row r="9" spans="1:21" x14ac:dyDescent="0.2">
      <c r="P9" s="28">
        <v>8</v>
      </c>
      <c r="Q9" s="62" t="s">
        <v>48</v>
      </c>
      <c r="R9" s="63">
        <v>621961</v>
      </c>
      <c r="S9" s="63">
        <v>612225</v>
      </c>
      <c r="T9" s="64">
        <f t="shared" si="0"/>
        <v>-9736</v>
      </c>
      <c r="U9" s="65">
        <f t="shared" si="1"/>
        <v>-1.5653714621977906E-2</v>
      </c>
    </row>
    <row r="10" spans="1:21" x14ac:dyDescent="0.2">
      <c r="P10" s="28">
        <v>9</v>
      </c>
      <c r="Q10" s="62" t="s">
        <v>52</v>
      </c>
      <c r="R10" s="63">
        <v>546629</v>
      </c>
      <c r="S10" s="63">
        <v>542245</v>
      </c>
      <c r="T10" s="64">
        <f t="shared" si="0"/>
        <v>-4384</v>
      </c>
      <c r="U10" s="65">
        <f t="shared" si="1"/>
        <v>-8.0200647971476087E-3</v>
      </c>
    </row>
    <row r="11" spans="1:21" x14ac:dyDescent="0.2">
      <c r="P11" s="28">
        <v>10</v>
      </c>
      <c r="Q11" s="62" t="s">
        <v>139</v>
      </c>
      <c r="R11" s="63">
        <v>309395</v>
      </c>
      <c r="S11" s="63">
        <v>322017</v>
      </c>
      <c r="T11" s="64">
        <f t="shared" si="0"/>
        <v>12622</v>
      </c>
      <c r="U11" s="65">
        <f t="shared" si="1"/>
        <v>4.0795746537597571E-2</v>
      </c>
    </row>
    <row r="12" spans="1:21" ht="24" x14ac:dyDescent="0.2">
      <c r="P12" s="28">
        <v>11</v>
      </c>
      <c r="Q12" s="67" t="s">
        <v>155</v>
      </c>
      <c r="R12" s="63">
        <v>332990</v>
      </c>
      <c r="S12" s="63">
        <v>318012</v>
      </c>
      <c r="T12" s="64">
        <f t="shared" si="0"/>
        <v>-14978</v>
      </c>
      <c r="U12" s="65">
        <f t="shared" si="1"/>
        <v>-4.4980329739631821E-2</v>
      </c>
    </row>
    <row r="13" spans="1:21" x14ac:dyDescent="0.2">
      <c r="P13" s="28">
        <v>12</v>
      </c>
      <c r="Q13" s="62" t="s">
        <v>140</v>
      </c>
      <c r="R13" s="63">
        <v>271432</v>
      </c>
      <c r="S13" s="63">
        <v>276657</v>
      </c>
      <c r="T13" s="64">
        <f t="shared" si="0"/>
        <v>5225</v>
      </c>
      <c r="U13" s="65">
        <f t="shared" si="1"/>
        <v>1.9249756845176692E-2</v>
      </c>
    </row>
    <row r="14" spans="1:21" x14ac:dyDescent="0.2">
      <c r="P14" s="28">
        <v>13</v>
      </c>
      <c r="Q14" s="62" t="s">
        <v>141</v>
      </c>
      <c r="R14" s="63">
        <v>262577</v>
      </c>
      <c r="S14" s="63">
        <v>274455</v>
      </c>
      <c r="T14" s="64">
        <f t="shared" si="0"/>
        <v>11878</v>
      </c>
      <c r="U14" s="65">
        <f t="shared" si="1"/>
        <v>4.5236254508201401E-2</v>
      </c>
    </row>
    <row r="15" spans="1:21" x14ac:dyDescent="0.2">
      <c r="A15" s="25"/>
      <c r="P15" s="28">
        <v>14</v>
      </c>
      <c r="Q15" s="62" t="s">
        <v>142</v>
      </c>
      <c r="R15" s="63">
        <v>199534</v>
      </c>
      <c r="S15" s="63">
        <v>200558</v>
      </c>
      <c r="T15" s="64">
        <f t="shared" si="0"/>
        <v>1024</v>
      </c>
      <c r="U15" s="65">
        <f t="shared" si="1"/>
        <v>5.1319574608838592E-3</v>
      </c>
    </row>
    <row r="16" spans="1:21" x14ac:dyDescent="0.2">
      <c r="P16" s="28">
        <v>15</v>
      </c>
      <c r="Q16" s="62" t="s">
        <v>143</v>
      </c>
      <c r="R16" s="63">
        <v>95185</v>
      </c>
      <c r="S16" s="63">
        <v>109088</v>
      </c>
      <c r="T16" s="64">
        <f t="shared" si="0"/>
        <v>13903</v>
      </c>
      <c r="U16" s="65">
        <f t="shared" si="1"/>
        <v>0.14606293008352156</v>
      </c>
    </row>
    <row r="17" spans="1:21" x14ac:dyDescent="0.2">
      <c r="P17" s="28">
        <v>16</v>
      </c>
      <c r="Q17" s="62" t="s">
        <v>144</v>
      </c>
      <c r="R17" s="63">
        <v>40320</v>
      </c>
      <c r="S17" s="63">
        <v>106050</v>
      </c>
      <c r="T17" s="64">
        <f t="shared" si="0"/>
        <v>65730</v>
      </c>
      <c r="U17" s="65">
        <f t="shared" si="1"/>
        <v>1.6302083333333333</v>
      </c>
    </row>
    <row r="18" spans="1:21" x14ac:dyDescent="0.2">
      <c r="P18" s="28">
        <v>17</v>
      </c>
      <c r="Q18" s="62" t="s">
        <v>44</v>
      </c>
      <c r="R18" s="63">
        <v>71828</v>
      </c>
      <c r="S18" s="63">
        <v>89437</v>
      </c>
      <c r="T18" s="64">
        <f t="shared" si="0"/>
        <v>17609</v>
      </c>
      <c r="U18" s="65">
        <f t="shared" si="1"/>
        <v>0.24515509272150138</v>
      </c>
    </row>
    <row r="19" spans="1:21" x14ac:dyDescent="0.2">
      <c r="A19" s="33" t="s">
        <v>72</v>
      </c>
      <c r="B19" s="69" t="s">
        <v>152</v>
      </c>
      <c r="C19" s="70"/>
      <c r="D19" s="70"/>
      <c r="E19" s="70"/>
      <c r="F19" s="70"/>
      <c r="G19" s="70"/>
      <c r="H19" s="69" t="s">
        <v>153</v>
      </c>
      <c r="I19" s="70"/>
      <c r="J19" s="70"/>
      <c r="K19" s="70"/>
      <c r="L19" s="70"/>
      <c r="P19" s="28">
        <v>18</v>
      </c>
      <c r="Q19" s="62" t="s">
        <v>145</v>
      </c>
      <c r="R19" s="63">
        <v>66759</v>
      </c>
      <c r="S19" s="63">
        <v>81526</v>
      </c>
      <c r="T19" s="64">
        <f t="shared" si="0"/>
        <v>14767</v>
      </c>
      <c r="U19" s="65">
        <f t="shared" si="1"/>
        <v>0.22119863988376098</v>
      </c>
    </row>
    <row r="20" spans="1:21" ht="24" x14ac:dyDescent="0.2">
      <c r="B20" s="71" t="s">
        <v>43</v>
      </c>
      <c r="C20" s="72">
        <v>2017</v>
      </c>
      <c r="D20" s="72">
        <v>2018</v>
      </c>
      <c r="E20" s="72" t="s">
        <v>151</v>
      </c>
      <c r="F20" s="72" t="s">
        <v>45</v>
      </c>
      <c r="G20" s="70"/>
      <c r="H20" s="71" t="s">
        <v>43</v>
      </c>
      <c r="I20" s="72">
        <v>2017</v>
      </c>
      <c r="J20" s="72">
        <v>2018</v>
      </c>
      <c r="K20" s="72" t="s">
        <v>151</v>
      </c>
      <c r="L20" s="72" t="s">
        <v>45</v>
      </c>
      <c r="P20" s="28">
        <v>19</v>
      </c>
      <c r="Q20" s="62" t="s">
        <v>146</v>
      </c>
      <c r="R20" s="63">
        <v>51507</v>
      </c>
      <c r="S20" s="63">
        <v>53116</v>
      </c>
      <c r="T20" s="64">
        <f t="shared" si="0"/>
        <v>1609</v>
      </c>
      <c r="U20" s="65">
        <f t="shared" si="1"/>
        <v>3.1238472440639136E-2</v>
      </c>
    </row>
    <row r="21" spans="1:21" x14ac:dyDescent="0.2">
      <c r="B21" s="73" t="s">
        <v>138</v>
      </c>
      <c r="C21" s="74">
        <v>1887430</v>
      </c>
      <c r="D21" s="74">
        <v>2038684</v>
      </c>
      <c r="E21" s="75">
        <v>151254</v>
      </c>
      <c r="F21" s="76">
        <v>8.0137541524718803E-2</v>
      </c>
      <c r="G21" s="77"/>
      <c r="H21" s="73" t="s">
        <v>51</v>
      </c>
      <c r="I21" s="74">
        <v>1455238</v>
      </c>
      <c r="J21" s="74">
        <v>1345157</v>
      </c>
      <c r="K21" s="75">
        <v>-110081</v>
      </c>
      <c r="L21" s="76">
        <v>-7.5644671180933973E-2</v>
      </c>
      <c r="P21" s="28">
        <v>20</v>
      </c>
      <c r="Q21" s="62" t="s">
        <v>147</v>
      </c>
      <c r="R21" s="63">
        <v>42494</v>
      </c>
      <c r="S21" s="63">
        <v>40887</v>
      </c>
      <c r="T21" s="64">
        <f t="shared" si="0"/>
        <v>-1607</v>
      </c>
      <c r="U21" s="65">
        <f t="shared" si="1"/>
        <v>-3.7817103591095212E-2</v>
      </c>
    </row>
    <row r="22" spans="1:21" x14ac:dyDescent="0.2">
      <c r="B22" s="73" t="s">
        <v>144</v>
      </c>
      <c r="C22" s="74">
        <v>40320</v>
      </c>
      <c r="D22" s="74">
        <v>106050</v>
      </c>
      <c r="E22" s="75">
        <v>65730</v>
      </c>
      <c r="F22" s="76">
        <v>1.6302083333333333</v>
      </c>
      <c r="G22" s="77"/>
      <c r="H22" s="73" t="s">
        <v>47</v>
      </c>
      <c r="I22" s="74">
        <v>2334290</v>
      </c>
      <c r="J22" s="74">
        <v>2265590</v>
      </c>
      <c r="K22" s="75">
        <v>-68700</v>
      </c>
      <c r="L22" s="76">
        <v>-2.9430790518744459E-2</v>
      </c>
      <c r="P22" s="28">
        <v>21</v>
      </c>
      <c r="Q22" s="62" t="s">
        <v>148</v>
      </c>
      <c r="R22" s="63">
        <v>36180</v>
      </c>
      <c r="S22" s="63">
        <v>27021</v>
      </c>
      <c r="T22" s="64">
        <f t="shared" si="0"/>
        <v>-9159</v>
      </c>
      <c r="U22" s="65">
        <f t="shared" si="1"/>
        <v>-0.25315091210613599</v>
      </c>
    </row>
    <row r="23" spans="1:21" x14ac:dyDescent="0.2">
      <c r="B23" s="73" t="s">
        <v>53</v>
      </c>
      <c r="C23" s="74">
        <v>584614</v>
      </c>
      <c r="D23" s="74">
        <v>615594</v>
      </c>
      <c r="E23" s="75">
        <v>30980</v>
      </c>
      <c r="F23" s="76">
        <v>5.299223077107288E-2</v>
      </c>
      <c r="G23" s="77"/>
      <c r="H23" s="73" t="s">
        <v>50</v>
      </c>
      <c r="I23" s="74">
        <v>1492112</v>
      </c>
      <c r="J23" s="74">
        <v>1449713</v>
      </c>
      <c r="K23" s="75">
        <v>-42399</v>
      </c>
      <c r="L23" s="76">
        <v>-2.8415427260152053E-2</v>
      </c>
      <c r="P23" s="28">
        <v>22</v>
      </c>
      <c r="Q23" s="62" t="s">
        <v>149</v>
      </c>
      <c r="R23" s="63">
        <v>18901</v>
      </c>
      <c r="S23" s="63">
        <v>17251</v>
      </c>
      <c r="T23" s="64">
        <f t="shared" si="0"/>
        <v>-1650</v>
      </c>
      <c r="U23" s="65">
        <f t="shared" si="1"/>
        <v>-8.7296968414369611E-2</v>
      </c>
    </row>
    <row r="24" spans="1:21" x14ac:dyDescent="0.2">
      <c r="B24" s="73" t="s">
        <v>44</v>
      </c>
      <c r="C24" s="74">
        <v>71828</v>
      </c>
      <c r="D24" s="74">
        <v>89437</v>
      </c>
      <c r="E24" s="75">
        <v>17609</v>
      </c>
      <c r="F24" s="76">
        <v>0.24515509272150138</v>
      </c>
      <c r="G24" s="77"/>
      <c r="H24" s="73" t="s">
        <v>137</v>
      </c>
      <c r="I24" s="74">
        <v>2691493</v>
      </c>
      <c r="J24" s="74">
        <v>2654568</v>
      </c>
      <c r="K24" s="75">
        <v>-36925</v>
      </c>
      <c r="L24" s="76">
        <v>-1.3719151415218246E-2</v>
      </c>
      <c r="P24" s="28">
        <v>23</v>
      </c>
      <c r="Q24" s="62" t="s">
        <v>150</v>
      </c>
      <c r="R24" s="63">
        <v>2905</v>
      </c>
      <c r="S24" s="63">
        <v>1154</v>
      </c>
      <c r="T24" s="64">
        <f t="shared" si="0"/>
        <v>-1751</v>
      </c>
      <c r="U24" s="65">
        <f t="shared" si="1"/>
        <v>-0.60275387263339075</v>
      </c>
    </row>
    <row r="25" spans="1:21" ht="24" x14ac:dyDescent="0.2">
      <c r="B25" s="73" t="s">
        <v>145</v>
      </c>
      <c r="C25" s="74">
        <v>66759</v>
      </c>
      <c r="D25" s="74">
        <v>81526</v>
      </c>
      <c r="E25" s="75">
        <v>14767</v>
      </c>
      <c r="F25" s="76">
        <v>0.22119863988376098</v>
      </c>
      <c r="G25" s="77"/>
      <c r="H25" s="78" t="s">
        <v>155</v>
      </c>
      <c r="I25" s="74">
        <v>332990</v>
      </c>
      <c r="J25" s="74">
        <v>318012</v>
      </c>
      <c r="K25" s="75">
        <v>-14978</v>
      </c>
      <c r="L25" s="76">
        <v>-4.4980329739631821E-2</v>
      </c>
    </row>
    <row r="26" spans="1:21" x14ac:dyDescent="0.2">
      <c r="B26" s="73" t="s">
        <v>143</v>
      </c>
      <c r="C26" s="74">
        <v>95185</v>
      </c>
      <c r="D26" s="74">
        <v>109088</v>
      </c>
      <c r="E26" s="75">
        <v>13903</v>
      </c>
      <c r="F26" s="76">
        <v>0.14606293008352156</v>
      </c>
      <c r="G26" s="77"/>
      <c r="H26" s="73" t="s">
        <v>48</v>
      </c>
      <c r="I26" s="74">
        <v>621961</v>
      </c>
      <c r="J26" s="74">
        <v>612225</v>
      </c>
      <c r="K26" s="75">
        <v>-9736</v>
      </c>
      <c r="L26" s="76">
        <v>-1.5653714621977906E-2</v>
      </c>
    </row>
    <row r="27" spans="1:21" x14ac:dyDescent="0.2">
      <c r="B27" s="73" t="s">
        <v>139</v>
      </c>
      <c r="C27" s="74">
        <v>309395</v>
      </c>
      <c r="D27" s="74">
        <v>322017</v>
      </c>
      <c r="E27" s="75">
        <v>12622</v>
      </c>
      <c r="F27" s="76">
        <v>4.0795746537597571E-2</v>
      </c>
      <c r="G27" s="77"/>
      <c r="H27" s="73" t="s">
        <v>148</v>
      </c>
      <c r="I27" s="74">
        <v>36180</v>
      </c>
      <c r="J27" s="74">
        <v>27021</v>
      </c>
      <c r="K27" s="75">
        <v>-9159</v>
      </c>
      <c r="L27" s="76">
        <v>-0.25315091210613599</v>
      </c>
    </row>
    <row r="28" spans="1:21" x14ac:dyDescent="0.2">
      <c r="B28" s="73" t="s">
        <v>141</v>
      </c>
      <c r="C28" s="74">
        <v>262577</v>
      </c>
      <c r="D28" s="74">
        <v>274455</v>
      </c>
      <c r="E28" s="75">
        <v>11878</v>
      </c>
      <c r="F28" s="76">
        <v>4.5236254508201401E-2</v>
      </c>
      <c r="G28" s="77"/>
      <c r="H28" s="73" t="s">
        <v>49</v>
      </c>
      <c r="I28" s="74">
        <v>2211533</v>
      </c>
      <c r="J28" s="74">
        <v>2205762</v>
      </c>
      <c r="K28" s="75">
        <v>-5771</v>
      </c>
      <c r="L28" s="76">
        <v>-2.6095020965095253E-3</v>
      </c>
    </row>
    <row r="29" spans="1:21" x14ac:dyDescent="0.2">
      <c r="B29" s="73" t="s">
        <v>140</v>
      </c>
      <c r="C29" s="74">
        <v>271432</v>
      </c>
      <c r="D29" s="74">
        <v>276657</v>
      </c>
      <c r="E29" s="75">
        <v>5225</v>
      </c>
      <c r="F29" s="76">
        <v>1.9249756845176692E-2</v>
      </c>
      <c r="G29" s="77"/>
      <c r="H29" s="73" t="s">
        <v>52</v>
      </c>
      <c r="I29" s="74">
        <v>546629</v>
      </c>
      <c r="J29" s="74">
        <v>542245</v>
      </c>
      <c r="K29" s="75">
        <v>-4384</v>
      </c>
      <c r="L29" s="76">
        <v>-8.0200647971476087E-3</v>
      </c>
      <c r="M29" s="66"/>
      <c r="N29" s="66"/>
    </row>
    <row r="30" spans="1:21" x14ac:dyDescent="0.2">
      <c r="B30" s="73" t="s">
        <v>146</v>
      </c>
      <c r="C30" s="74">
        <v>51507</v>
      </c>
      <c r="D30" s="74">
        <v>53116</v>
      </c>
      <c r="E30" s="75">
        <v>1609</v>
      </c>
      <c r="F30" s="76">
        <v>3.1238472440639136E-2</v>
      </c>
      <c r="G30" s="77"/>
      <c r="H30" s="73" t="s">
        <v>150</v>
      </c>
      <c r="I30" s="74">
        <v>2905</v>
      </c>
      <c r="J30" s="74">
        <v>1154</v>
      </c>
      <c r="K30" s="75">
        <v>-1751</v>
      </c>
      <c r="L30" s="76">
        <v>-0.60275387263339075</v>
      </c>
    </row>
    <row r="31" spans="1:21" x14ac:dyDescent="0.2">
      <c r="B31" s="73" t="s">
        <v>142</v>
      </c>
      <c r="C31" s="74">
        <v>199534</v>
      </c>
      <c r="D31" s="74">
        <v>200558</v>
      </c>
      <c r="E31" s="75">
        <v>1024</v>
      </c>
      <c r="F31" s="76">
        <v>5.1319574608838592E-3</v>
      </c>
      <c r="G31" s="77"/>
      <c r="H31" s="73" t="s">
        <v>149</v>
      </c>
      <c r="I31" s="74">
        <v>18901</v>
      </c>
      <c r="J31" s="74">
        <v>17251</v>
      </c>
      <c r="K31" s="75">
        <v>-1650</v>
      </c>
      <c r="L31" s="76">
        <v>-8.7296968414369611E-2</v>
      </c>
    </row>
    <row r="32" spans="1:21" x14ac:dyDescent="0.2">
      <c r="B32" s="79"/>
      <c r="C32" s="77"/>
      <c r="D32" s="77"/>
      <c r="E32" s="77"/>
      <c r="F32" s="77"/>
      <c r="G32" s="77"/>
      <c r="H32" s="73" t="s">
        <v>147</v>
      </c>
      <c r="I32" s="74">
        <v>42494</v>
      </c>
      <c r="J32" s="74">
        <v>40887</v>
      </c>
      <c r="K32" s="75">
        <v>-1607</v>
      </c>
      <c r="L32" s="76">
        <v>-3.7817103591095212E-2</v>
      </c>
    </row>
    <row r="34" spans="1:18" x14ac:dyDescent="0.2">
      <c r="A34" s="33" t="s">
        <v>77</v>
      </c>
      <c r="B34" s="80" t="s">
        <v>154</v>
      </c>
      <c r="C34" s="70"/>
      <c r="D34" s="70"/>
      <c r="E34" s="70"/>
      <c r="F34" s="70"/>
      <c r="G34" s="70"/>
      <c r="H34" s="80" t="s">
        <v>156</v>
      </c>
      <c r="I34" s="70"/>
      <c r="J34" s="70"/>
      <c r="K34" s="70"/>
      <c r="L34" s="70"/>
      <c r="M34" s="70"/>
      <c r="N34" s="80" t="s">
        <v>157</v>
      </c>
      <c r="O34" s="70"/>
      <c r="P34" s="70"/>
      <c r="Q34" s="70"/>
      <c r="R34" s="70"/>
    </row>
    <row r="35" spans="1:18" ht="24" x14ac:dyDescent="0.2">
      <c r="B35" s="81" t="s">
        <v>43</v>
      </c>
      <c r="C35" s="81">
        <v>2017</v>
      </c>
      <c r="D35" s="81">
        <v>2018</v>
      </c>
      <c r="E35" s="81" t="s">
        <v>151</v>
      </c>
      <c r="F35" s="81" t="s">
        <v>45</v>
      </c>
      <c r="G35" s="70"/>
      <c r="H35" s="81" t="s">
        <v>43</v>
      </c>
      <c r="I35" s="81">
        <v>2017</v>
      </c>
      <c r="J35" s="81">
        <v>2018</v>
      </c>
      <c r="K35" s="81" t="s">
        <v>151</v>
      </c>
      <c r="L35" s="81" t="s">
        <v>45</v>
      </c>
      <c r="M35" s="70"/>
      <c r="N35" s="81" t="s">
        <v>43</v>
      </c>
      <c r="O35" s="81">
        <v>2017</v>
      </c>
      <c r="P35" s="81">
        <v>2018</v>
      </c>
      <c r="Q35" s="81" t="s">
        <v>151</v>
      </c>
      <c r="R35" s="81" t="s">
        <v>45</v>
      </c>
    </row>
    <row r="36" spans="1:18" ht="24" x14ac:dyDescent="0.2">
      <c r="B36" s="73" t="s">
        <v>144</v>
      </c>
      <c r="C36" s="74">
        <v>40320</v>
      </c>
      <c r="D36" s="74">
        <v>106050</v>
      </c>
      <c r="E36" s="75">
        <v>65730</v>
      </c>
      <c r="F36" s="76">
        <v>1.6302083333333333</v>
      </c>
      <c r="G36" s="77"/>
      <c r="H36" s="73" t="s">
        <v>144</v>
      </c>
      <c r="I36" s="74">
        <v>40320</v>
      </c>
      <c r="J36" s="74">
        <v>106050</v>
      </c>
      <c r="K36" s="75">
        <v>65730</v>
      </c>
      <c r="L36" s="76">
        <v>1.6302083333333333</v>
      </c>
      <c r="M36" s="77"/>
      <c r="N36" s="78" t="s">
        <v>155</v>
      </c>
      <c r="O36" s="74">
        <v>332990</v>
      </c>
      <c r="P36" s="74">
        <v>318012</v>
      </c>
      <c r="Q36" s="75">
        <v>-14978</v>
      </c>
      <c r="R36" s="76">
        <v>-4.4980329739631821E-2</v>
      </c>
    </row>
    <row r="37" spans="1:18" x14ac:dyDescent="0.2">
      <c r="B37" s="73" t="s">
        <v>44</v>
      </c>
      <c r="C37" s="74">
        <v>71828</v>
      </c>
      <c r="D37" s="74">
        <v>89437</v>
      </c>
      <c r="E37" s="75">
        <v>17609</v>
      </c>
      <c r="F37" s="76">
        <v>0.24515509272150138</v>
      </c>
      <c r="G37" s="77"/>
      <c r="H37" s="73" t="s">
        <v>44</v>
      </c>
      <c r="I37" s="74">
        <v>71828</v>
      </c>
      <c r="J37" s="74">
        <v>89437</v>
      </c>
      <c r="K37" s="75">
        <v>17609</v>
      </c>
      <c r="L37" s="76">
        <v>0.24515509272150138</v>
      </c>
      <c r="M37" s="77"/>
      <c r="N37" s="73" t="s">
        <v>51</v>
      </c>
      <c r="O37" s="74">
        <v>1455238</v>
      </c>
      <c r="P37" s="74">
        <v>1345157</v>
      </c>
      <c r="Q37" s="75">
        <v>-110081</v>
      </c>
      <c r="R37" s="76">
        <v>-7.5644671180933973E-2</v>
      </c>
    </row>
    <row r="38" spans="1:18" x14ac:dyDescent="0.2">
      <c r="B38" s="73" t="s">
        <v>145</v>
      </c>
      <c r="C38" s="74">
        <v>66759</v>
      </c>
      <c r="D38" s="74">
        <v>81526</v>
      </c>
      <c r="E38" s="75">
        <v>14767</v>
      </c>
      <c r="F38" s="76">
        <v>0.22119863988376098</v>
      </c>
      <c r="G38" s="77"/>
      <c r="H38" s="73" t="s">
        <v>145</v>
      </c>
      <c r="I38" s="74">
        <v>66759</v>
      </c>
      <c r="J38" s="74">
        <v>81526</v>
      </c>
      <c r="K38" s="75">
        <v>14767</v>
      </c>
      <c r="L38" s="76">
        <v>0.22119863988376098</v>
      </c>
      <c r="M38" s="77"/>
      <c r="N38" s="73" t="s">
        <v>149</v>
      </c>
      <c r="O38" s="74">
        <v>18901</v>
      </c>
      <c r="P38" s="74">
        <v>17251</v>
      </c>
      <c r="Q38" s="75">
        <v>-1650</v>
      </c>
      <c r="R38" s="76">
        <v>-8.7296968414369611E-2</v>
      </c>
    </row>
    <row r="39" spans="1:18" x14ac:dyDescent="0.2">
      <c r="B39" s="73" t="s">
        <v>143</v>
      </c>
      <c r="C39" s="74">
        <v>95185</v>
      </c>
      <c r="D39" s="74">
        <v>109088</v>
      </c>
      <c r="E39" s="75">
        <v>13903</v>
      </c>
      <c r="F39" s="76">
        <v>0.14606293008352156</v>
      </c>
      <c r="G39" s="77"/>
      <c r="H39" s="73" t="s">
        <v>143</v>
      </c>
      <c r="I39" s="74">
        <v>95185</v>
      </c>
      <c r="J39" s="74">
        <v>109088</v>
      </c>
      <c r="K39" s="75">
        <v>13903</v>
      </c>
      <c r="L39" s="76">
        <v>0.14606293008352156</v>
      </c>
      <c r="M39" s="77"/>
      <c r="N39" s="73" t="s">
        <v>148</v>
      </c>
      <c r="O39" s="74">
        <v>36180</v>
      </c>
      <c r="P39" s="74">
        <v>27021</v>
      </c>
      <c r="Q39" s="75">
        <v>-9159</v>
      </c>
      <c r="R39" s="76">
        <v>-0.25315091210613599</v>
      </c>
    </row>
    <row r="40" spans="1:18" x14ac:dyDescent="0.2">
      <c r="B40" s="73" t="s">
        <v>138</v>
      </c>
      <c r="C40" s="74">
        <v>1887430</v>
      </c>
      <c r="D40" s="74">
        <v>2038684</v>
      </c>
      <c r="E40" s="75">
        <v>151254</v>
      </c>
      <c r="F40" s="76">
        <v>8.0137541524718803E-2</v>
      </c>
      <c r="G40" s="77"/>
      <c r="H40" s="73" t="s">
        <v>138</v>
      </c>
      <c r="I40" s="74">
        <v>1887430</v>
      </c>
      <c r="J40" s="74">
        <v>2038684</v>
      </c>
      <c r="K40" s="75">
        <v>151254</v>
      </c>
      <c r="L40" s="76">
        <v>8.0137541524718803E-2</v>
      </c>
      <c r="M40" s="77"/>
      <c r="N40" s="73" t="s">
        <v>150</v>
      </c>
      <c r="O40" s="74">
        <v>2905</v>
      </c>
      <c r="P40" s="74">
        <v>1154</v>
      </c>
      <c r="Q40" s="75">
        <v>-1751</v>
      </c>
      <c r="R40" s="76">
        <v>-0.60275387263339075</v>
      </c>
    </row>
    <row r="41" spans="1:18" x14ac:dyDescent="0.2">
      <c r="B41" s="73" t="s">
        <v>53</v>
      </c>
      <c r="C41" s="74">
        <v>584614</v>
      </c>
      <c r="D41" s="74">
        <v>615594</v>
      </c>
      <c r="E41" s="75">
        <v>30980</v>
      </c>
      <c r="F41" s="76">
        <v>5.299223077107288E-2</v>
      </c>
      <c r="G41" s="77"/>
      <c r="H41" s="77"/>
      <c r="I41" s="77"/>
      <c r="J41" s="77"/>
      <c r="K41" s="77"/>
      <c r="L41" s="77"/>
      <c r="M41" s="77"/>
      <c r="N41" s="77"/>
      <c r="O41" s="77"/>
      <c r="P41" s="77"/>
      <c r="Q41" s="77"/>
      <c r="R41" s="77"/>
    </row>
    <row r="42" spans="1:18" x14ac:dyDescent="0.2">
      <c r="B42" s="73" t="s">
        <v>141</v>
      </c>
      <c r="C42" s="74">
        <v>262577</v>
      </c>
      <c r="D42" s="74">
        <v>274455</v>
      </c>
      <c r="E42" s="75">
        <v>11878</v>
      </c>
      <c r="F42" s="76">
        <v>4.5236254508201401E-2</v>
      </c>
      <c r="G42" s="77"/>
      <c r="H42" s="77"/>
      <c r="I42" s="77"/>
      <c r="J42" s="77"/>
      <c r="K42" s="77"/>
      <c r="L42" s="77"/>
      <c r="M42" s="77"/>
      <c r="N42" s="77"/>
      <c r="O42" s="77"/>
      <c r="P42" s="77"/>
      <c r="Q42" s="77"/>
      <c r="R42" s="77"/>
    </row>
    <row r="43" spans="1:18" x14ac:dyDescent="0.2">
      <c r="B43" s="73" t="s">
        <v>139</v>
      </c>
      <c r="C43" s="74">
        <v>309395</v>
      </c>
      <c r="D43" s="74">
        <v>322017</v>
      </c>
      <c r="E43" s="75">
        <v>12622</v>
      </c>
      <c r="F43" s="76">
        <v>4.0795746537597571E-2</v>
      </c>
      <c r="G43" s="77"/>
      <c r="H43" s="77"/>
      <c r="I43" s="77"/>
      <c r="J43" s="77"/>
      <c r="K43" s="77"/>
      <c r="L43" s="77"/>
      <c r="M43" s="77"/>
      <c r="N43" s="77"/>
      <c r="O43" s="77"/>
      <c r="P43" s="77"/>
      <c r="Q43" s="77"/>
      <c r="R43" s="77"/>
    </row>
    <row r="44" spans="1:18" x14ac:dyDescent="0.2">
      <c r="B44" s="73" t="s">
        <v>146</v>
      </c>
      <c r="C44" s="74">
        <v>51507</v>
      </c>
      <c r="D44" s="74">
        <v>53116</v>
      </c>
      <c r="E44" s="75">
        <v>1609</v>
      </c>
      <c r="F44" s="76">
        <v>3.1238472440639136E-2</v>
      </c>
      <c r="G44" s="77"/>
      <c r="H44" s="77"/>
      <c r="I44" s="77"/>
      <c r="J44" s="77"/>
      <c r="K44" s="77"/>
      <c r="L44" s="77"/>
      <c r="M44" s="77"/>
      <c r="N44" s="77"/>
      <c r="O44" s="77"/>
      <c r="P44" s="77"/>
      <c r="Q44" s="77"/>
      <c r="R44" s="77"/>
    </row>
    <row r="45" spans="1:18" x14ac:dyDescent="0.2">
      <c r="B45" s="73" t="s">
        <v>140</v>
      </c>
      <c r="C45" s="74">
        <v>271432</v>
      </c>
      <c r="D45" s="74">
        <v>276657</v>
      </c>
      <c r="E45" s="75">
        <v>5225</v>
      </c>
      <c r="F45" s="76">
        <v>1.9249756845176692E-2</v>
      </c>
      <c r="G45" s="77"/>
      <c r="H45" s="77"/>
      <c r="I45" s="77"/>
      <c r="J45" s="77"/>
      <c r="K45" s="77"/>
      <c r="L45" s="77"/>
      <c r="M45" s="77"/>
      <c r="N45" s="77"/>
      <c r="O45" s="77"/>
      <c r="P45" s="77"/>
      <c r="Q45" s="77"/>
      <c r="R45" s="77"/>
    </row>
    <row r="46" spans="1:18" x14ac:dyDescent="0.2">
      <c r="B46" s="73" t="s">
        <v>142</v>
      </c>
      <c r="C46" s="74">
        <v>199534</v>
      </c>
      <c r="D46" s="74">
        <v>200558</v>
      </c>
      <c r="E46" s="75">
        <v>1024</v>
      </c>
      <c r="F46" s="76">
        <v>5.1319574608838592E-3</v>
      </c>
      <c r="G46" s="77"/>
      <c r="H46" s="77"/>
      <c r="I46" s="77"/>
      <c r="J46" s="77"/>
      <c r="K46" s="77"/>
      <c r="L46" s="77"/>
      <c r="M46" s="77"/>
      <c r="N46" s="77"/>
      <c r="O46" s="77"/>
      <c r="P46" s="77"/>
      <c r="Q46" s="77"/>
      <c r="R46" s="77"/>
    </row>
    <row r="47" spans="1:18" x14ac:dyDescent="0.2">
      <c r="B47" s="73" t="s">
        <v>49</v>
      </c>
      <c r="C47" s="74">
        <v>2211533</v>
      </c>
      <c r="D47" s="74">
        <v>2205762</v>
      </c>
      <c r="E47" s="75">
        <v>-5771</v>
      </c>
      <c r="F47" s="76">
        <v>-2.6095020965095253E-3</v>
      </c>
      <c r="G47" s="77"/>
      <c r="H47" s="77"/>
      <c r="I47" s="77"/>
      <c r="J47" s="77"/>
      <c r="K47" s="77"/>
      <c r="L47" s="77"/>
      <c r="M47" s="77"/>
      <c r="N47" s="77"/>
      <c r="O47" s="77"/>
      <c r="P47" s="77"/>
      <c r="Q47" s="77"/>
      <c r="R47" s="77"/>
    </row>
    <row r="48" spans="1:18" x14ac:dyDescent="0.2">
      <c r="B48" s="73" t="s">
        <v>52</v>
      </c>
      <c r="C48" s="74">
        <v>546629</v>
      </c>
      <c r="D48" s="74">
        <v>542245</v>
      </c>
      <c r="E48" s="75">
        <v>-4384</v>
      </c>
      <c r="F48" s="76">
        <v>-8.0200647971476087E-3</v>
      </c>
      <c r="G48" s="77"/>
      <c r="H48" s="77"/>
      <c r="I48" s="77"/>
      <c r="J48" s="77"/>
      <c r="K48" s="77"/>
      <c r="L48" s="77"/>
      <c r="M48" s="77"/>
      <c r="N48" s="77"/>
      <c r="O48" s="77"/>
      <c r="P48" s="77"/>
      <c r="Q48" s="77"/>
      <c r="R48" s="77"/>
    </row>
    <row r="49" spans="1:18" x14ac:dyDescent="0.2">
      <c r="B49" s="73" t="s">
        <v>137</v>
      </c>
      <c r="C49" s="74">
        <v>2691493</v>
      </c>
      <c r="D49" s="74">
        <v>2654568</v>
      </c>
      <c r="E49" s="75">
        <v>-36925</v>
      </c>
      <c r="F49" s="76">
        <v>-1.3719151415218246E-2</v>
      </c>
      <c r="G49" s="77"/>
      <c r="H49" s="77"/>
      <c r="I49" s="77"/>
      <c r="J49" s="77"/>
      <c r="K49" s="77"/>
      <c r="L49" s="77"/>
      <c r="M49" s="77"/>
      <c r="N49" s="77"/>
      <c r="O49" s="77"/>
      <c r="P49" s="77"/>
      <c r="Q49" s="77"/>
      <c r="R49" s="77"/>
    </row>
    <row r="50" spans="1:18" x14ac:dyDescent="0.2">
      <c r="B50" s="73" t="s">
        <v>48</v>
      </c>
      <c r="C50" s="74">
        <v>621961</v>
      </c>
      <c r="D50" s="74">
        <v>612225</v>
      </c>
      <c r="E50" s="75">
        <v>-9736</v>
      </c>
      <c r="F50" s="76">
        <v>-1.5653714621977906E-2</v>
      </c>
      <c r="G50" s="77"/>
      <c r="H50" s="77"/>
      <c r="I50" s="77"/>
      <c r="J50" s="77"/>
      <c r="K50" s="77"/>
      <c r="L50" s="77"/>
      <c r="M50" s="77"/>
      <c r="N50" s="77"/>
      <c r="O50" s="77"/>
      <c r="P50" s="77"/>
      <c r="Q50" s="77"/>
      <c r="R50" s="77"/>
    </row>
    <row r="51" spans="1:18" x14ac:dyDescent="0.2">
      <c r="B51" s="73" t="s">
        <v>50</v>
      </c>
      <c r="C51" s="74">
        <v>1492112</v>
      </c>
      <c r="D51" s="74">
        <v>1449713</v>
      </c>
      <c r="E51" s="75">
        <v>-42399</v>
      </c>
      <c r="F51" s="76">
        <v>-2.8415427260152053E-2</v>
      </c>
      <c r="G51" s="77"/>
      <c r="H51" s="77"/>
      <c r="I51" s="77"/>
      <c r="J51" s="77"/>
      <c r="K51" s="77"/>
      <c r="L51" s="77"/>
      <c r="M51" s="77"/>
      <c r="N51" s="77"/>
      <c r="O51" s="77"/>
      <c r="P51" s="77"/>
      <c r="Q51" s="77"/>
      <c r="R51" s="77"/>
    </row>
    <row r="52" spans="1:18" x14ac:dyDescent="0.2">
      <c r="B52" s="73" t="s">
        <v>47</v>
      </c>
      <c r="C52" s="74">
        <v>2334290</v>
      </c>
      <c r="D52" s="74">
        <v>2265590</v>
      </c>
      <c r="E52" s="75">
        <v>-68700</v>
      </c>
      <c r="F52" s="76">
        <v>-2.9430790518744459E-2</v>
      </c>
      <c r="G52" s="77"/>
      <c r="H52" s="77"/>
      <c r="I52" s="77"/>
      <c r="J52" s="77"/>
      <c r="K52" s="77"/>
      <c r="L52" s="77"/>
      <c r="M52" s="77"/>
      <c r="N52" s="77"/>
      <c r="O52" s="77"/>
      <c r="P52" s="77"/>
      <c r="Q52" s="77"/>
      <c r="R52" s="77"/>
    </row>
    <row r="53" spans="1:18" x14ac:dyDescent="0.2">
      <c r="B53" s="73" t="s">
        <v>147</v>
      </c>
      <c r="C53" s="74">
        <v>42494</v>
      </c>
      <c r="D53" s="74">
        <v>40887</v>
      </c>
      <c r="E53" s="75">
        <v>-1607</v>
      </c>
      <c r="F53" s="76">
        <v>-3.7817103591095212E-2</v>
      </c>
      <c r="G53" s="77"/>
      <c r="H53" s="77"/>
      <c r="I53" s="77"/>
      <c r="J53" s="77"/>
      <c r="K53" s="77"/>
      <c r="L53" s="77"/>
      <c r="M53" s="77"/>
      <c r="N53" s="77"/>
      <c r="O53" s="77"/>
      <c r="P53" s="77"/>
      <c r="Q53" s="77"/>
      <c r="R53" s="77"/>
    </row>
    <row r="54" spans="1:18" x14ac:dyDescent="0.2">
      <c r="B54" s="78" t="s">
        <v>155</v>
      </c>
      <c r="C54" s="74">
        <v>332990</v>
      </c>
      <c r="D54" s="74">
        <v>318012</v>
      </c>
      <c r="E54" s="75">
        <v>-14978</v>
      </c>
      <c r="F54" s="76">
        <v>-4.4980329739631821E-2</v>
      </c>
      <c r="G54" s="77"/>
      <c r="H54" s="77"/>
      <c r="I54" s="77"/>
      <c r="J54" s="77"/>
      <c r="K54" s="77"/>
      <c r="L54" s="77"/>
      <c r="M54" s="77"/>
      <c r="N54" s="77"/>
      <c r="O54" s="77"/>
      <c r="P54" s="77"/>
      <c r="Q54" s="77"/>
      <c r="R54" s="77"/>
    </row>
    <row r="55" spans="1:18" x14ac:dyDescent="0.2">
      <c r="B55" s="73" t="s">
        <v>51</v>
      </c>
      <c r="C55" s="74">
        <v>1455238</v>
      </c>
      <c r="D55" s="74">
        <v>1345157</v>
      </c>
      <c r="E55" s="75">
        <v>-110081</v>
      </c>
      <c r="F55" s="76">
        <v>-7.5644671180933973E-2</v>
      </c>
      <c r="G55" s="77"/>
      <c r="H55" s="77"/>
      <c r="I55" s="77"/>
      <c r="J55" s="77"/>
      <c r="K55" s="77"/>
      <c r="L55" s="77"/>
      <c r="M55" s="77"/>
      <c r="N55" s="77"/>
      <c r="O55" s="77"/>
      <c r="P55" s="77"/>
      <c r="Q55" s="77"/>
      <c r="R55" s="77"/>
    </row>
    <row r="56" spans="1:18" x14ac:dyDescent="0.2">
      <c r="B56" s="73" t="s">
        <v>149</v>
      </c>
      <c r="C56" s="74">
        <v>18901</v>
      </c>
      <c r="D56" s="74">
        <v>17251</v>
      </c>
      <c r="E56" s="75">
        <v>-1650</v>
      </c>
      <c r="F56" s="76">
        <v>-8.7296968414369611E-2</v>
      </c>
      <c r="G56" s="77"/>
      <c r="H56" s="77"/>
      <c r="I56" s="77"/>
      <c r="J56" s="77"/>
      <c r="K56" s="77"/>
      <c r="L56" s="77"/>
      <c r="M56" s="77"/>
      <c r="N56" s="77"/>
      <c r="O56" s="77"/>
      <c r="P56" s="77"/>
      <c r="Q56" s="77"/>
      <c r="R56" s="77"/>
    </row>
    <row r="57" spans="1:18" x14ac:dyDescent="0.2">
      <c r="B57" s="73" t="s">
        <v>148</v>
      </c>
      <c r="C57" s="74">
        <v>36180</v>
      </c>
      <c r="D57" s="74">
        <v>27021</v>
      </c>
      <c r="E57" s="75">
        <v>-9159</v>
      </c>
      <c r="F57" s="76">
        <v>-0.25315091210613599</v>
      </c>
      <c r="G57" s="77"/>
      <c r="H57" s="77"/>
      <c r="I57" s="77"/>
      <c r="J57" s="77"/>
      <c r="K57" s="77"/>
      <c r="L57" s="77"/>
      <c r="M57" s="77"/>
      <c r="N57" s="77"/>
      <c r="O57" s="77"/>
      <c r="P57" s="77"/>
      <c r="Q57" s="77"/>
      <c r="R57" s="77"/>
    </row>
    <row r="58" spans="1:18" x14ac:dyDescent="0.2">
      <c r="B58" s="73" t="s">
        <v>150</v>
      </c>
      <c r="C58" s="74">
        <v>2905</v>
      </c>
      <c r="D58" s="74">
        <v>1154</v>
      </c>
      <c r="E58" s="75">
        <v>-1751</v>
      </c>
      <c r="F58" s="76">
        <v>-0.60275387263339075</v>
      </c>
      <c r="G58" s="77"/>
      <c r="H58" s="77"/>
      <c r="I58" s="77"/>
      <c r="J58" s="77"/>
      <c r="K58" s="77"/>
      <c r="L58" s="77"/>
      <c r="M58" s="77"/>
      <c r="N58" s="77"/>
      <c r="O58" s="77"/>
      <c r="P58" s="77"/>
      <c r="Q58" s="77"/>
      <c r="R58" s="77"/>
    </row>
    <row r="60" spans="1:18" x14ac:dyDescent="0.2">
      <c r="A60" s="33" t="s">
        <v>83</v>
      </c>
      <c r="O60" s="68" t="s">
        <v>158</v>
      </c>
      <c r="P60" s="82"/>
      <c r="Q60" s="82"/>
    </row>
    <row r="61" spans="1:18" ht="12" customHeight="1" x14ac:dyDescent="0.2">
      <c r="O61" s="83" t="s">
        <v>159</v>
      </c>
      <c r="P61" s="83"/>
      <c r="Q61" s="83"/>
      <c r="R61" s="83"/>
    </row>
    <row r="62" spans="1:18" x14ac:dyDescent="0.2">
      <c r="O62" s="83"/>
      <c r="P62" s="83"/>
      <c r="Q62" s="83"/>
      <c r="R62" s="83"/>
    </row>
    <row r="63" spans="1:18" x14ac:dyDescent="0.2">
      <c r="O63" s="83"/>
      <c r="P63" s="83"/>
      <c r="Q63" s="83"/>
      <c r="R63" s="83"/>
    </row>
    <row r="64" spans="1:18" x14ac:dyDescent="0.2">
      <c r="O64" s="83"/>
      <c r="P64" s="83"/>
      <c r="Q64" s="83"/>
      <c r="R64" s="83"/>
    </row>
    <row r="65" spans="2:18" x14ac:dyDescent="0.2">
      <c r="H65" s="28"/>
      <c r="I65" s="59"/>
      <c r="J65" s="59"/>
      <c r="K65" s="60"/>
      <c r="L65" s="61"/>
      <c r="O65" s="83"/>
      <c r="P65" s="83"/>
      <c r="Q65" s="83"/>
      <c r="R65" s="83"/>
    </row>
    <row r="66" spans="2:18" x14ac:dyDescent="0.2">
      <c r="H66" s="28"/>
      <c r="I66" s="59"/>
      <c r="J66" s="59"/>
      <c r="K66" s="60"/>
      <c r="L66" s="61"/>
      <c r="O66" s="83"/>
      <c r="P66" s="83"/>
      <c r="Q66" s="83"/>
      <c r="R66" s="83"/>
    </row>
    <row r="67" spans="2:18" x14ac:dyDescent="0.2">
      <c r="H67" s="28"/>
      <c r="I67" s="59"/>
      <c r="J67" s="59"/>
      <c r="K67" s="60"/>
      <c r="L67" s="61"/>
      <c r="O67" s="83"/>
      <c r="P67" s="83"/>
      <c r="Q67" s="83"/>
      <c r="R67" s="83"/>
    </row>
    <row r="68" spans="2:18" x14ac:dyDescent="0.2">
      <c r="H68" s="28"/>
      <c r="I68" s="59"/>
      <c r="J68" s="59"/>
      <c r="K68" s="60"/>
      <c r="L68" s="61"/>
      <c r="O68" s="83"/>
      <c r="P68" s="83"/>
      <c r="Q68" s="83"/>
      <c r="R68" s="83"/>
    </row>
    <row r="69" spans="2:18" x14ac:dyDescent="0.2">
      <c r="H69" s="28"/>
      <c r="I69" s="59"/>
      <c r="J69" s="59"/>
      <c r="K69" s="60"/>
      <c r="L69" s="61"/>
      <c r="O69" s="83"/>
      <c r="P69" s="83"/>
      <c r="Q69" s="83"/>
      <c r="R69" s="83"/>
    </row>
    <row r="70" spans="2:18" x14ac:dyDescent="0.2">
      <c r="H70" s="28"/>
      <c r="I70" s="59"/>
      <c r="J70" s="59"/>
      <c r="K70" s="60"/>
      <c r="L70" s="61"/>
      <c r="O70" s="83"/>
      <c r="P70" s="83"/>
      <c r="Q70" s="83"/>
      <c r="R70" s="83"/>
    </row>
    <row r="71" spans="2:18" x14ac:dyDescent="0.2">
      <c r="H71" s="28"/>
      <c r="I71" s="59"/>
      <c r="J71" s="59"/>
      <c r="K71" s="60"/>
      <c r="L71" s="61"/>
      <c r="O71" s="83"/>
      <c r="P71" s="83"/>
      <c r="Q71" s="83"/>
      <c r="R71" s="83"/>
    </row>
    <row r="72" spans="2:18" x14ac:dyDescent="0.2">
      <c r="B72" s="22"/>
      <c r="O72" s="83"/>
      <c r="P72" s="83"/>
      <c r="Q72" s="83"/>
      <c r="R72" s="83"/>
    </row>
    <row r="73" spans="2:18" x14ac:dyDescent="0.2">
      <c r="B73" s="22"/>
      <c r="O73" s="83"/>
      <c r="P73" s="83"/>
      <c r="Q73" s="83"/>
      <c r="R73" s="83"/>
    </row>
    <row r="74" spans="2:18" x14ac:dyDescent="0.2">
      <c r="B74" s="22"/>
      <c r="O74" s="83"/>
      <c r="P74" s="83"/>
      <c r="Q74" s="83"/>
      <c r="R74" s="83"/>
    </row>
    <row r="75" spans="2:18" x14ac:dyDescent="0.2">
      <c r="B75" s="22"/>
      <c r="O75" s="83"/>
      <c r="P75" s="83"/>
      <c r="Q75" s="83"/>
      <c r="R75" s="83"/>
    </row>
    <row r="76" spans="2:18" x14ac:dyDescent="0.2">
      <c r="B76" s="22"/>
      <c r="O76" s="83"/>
      <c r="P76" s="83"/>
      <c r="Q76" s="83"/>
      <c r="R76" s="83"/>
    </row>
    <row r="77" spans="2:18" x14ac:dyDescent="0.2">
      <c r="B77" s="22"/>
      <c r="O77" s="83"/>
      <c r="P77" s="83"/>
      <c r="Q77" s="83"/>
      <c r="R77" s="83"/>
    </row>
    <row r="78" spans="2:18" x14ac:dyDescent="0.2">
      <c r="B78" s="22"/>
      <c r="O78" s="83"/>
      <c r="P78" s="83"/>
      <c r="Q78" s="83"/>
      <c r="R78" s="83"/>
    </row>
    <row r="79" spans="2:18" x14ac:dyDescent="0.2">
      <c r="B79" s="22"/>
      <c r="O79" s="83"/>
      <c r="P79" s="83"/>
      <c r="Q79" s="83"/>
      <c r="R79" s="83"/>
    </row>
    <row r="80" spans="2:18" x14ac:dyDescent="0.2">
      <c r="B80" s="22"/>
      <c r="O80" s="83"/>
      <c r="P80" s="83"/>
      <c r="Q80" s="83"/>
      <c r="R80" s="83"/>
    </row>
    <row r="81" spans="1:18" x14ac:dyDescent="0.2">
      <c r="B81" s="24"/>
      <c r="O81" s="83"/>
      <c r="P81" s="83"/>
      <c r="Q81" s="83"/>
      <c r="R81" s="83"/>
    </row>
    <row r="82" spans="1:18" x14ac:dyDescent="0.2">
      <c r="A82" t="s">
        <v>0</v>
      </c>
      <c r="O82" s="83"/>
      <c r="P82" s="83"/>
      <c r="Q82" s="83"/>
      <c r="R82" s="83"/>
    </row>
    <row r="83" spans="1:18" x14ac:dyDescent="0.2">
      <c r="O83" s="83"/>
      <c r="P83" s="83"/>
      <c r="Q83" s="83"/>
      <c r="R83" s="83"/>
    </row>
    <row r="84" spans="1:18" x14ac:dyDescent="0.2">
      <c r="O84" s="83"/>
      <c r="P84" s="83"/>
      <c r="Q84" s="83"/>
      <c r="R84" s="83"/>
    </row>
    <row r="85" spans="1:18" x14ac:dyDescent="0.2">
      <c r="O85" s="83"/>
      <c r="P85" s="83"/>
      <c r="Q85" s="83"/>
      <c r="R85" s="83"/>
    </row>
    <row r="106" spans="4:6" x14ac:dyDescent="0.2">
      <c r="D106" s="21"/>
      <c r="E106" s="21"/>
      <c r="F106" s="23"/>
    </row>
  </sheetData>
  <sortState xmlns:xlrd2="http://schemas.microsoft.com/office/spreadsheetml/2017/richdata2" ref="Q2:U24">
    <sortCondition descending="1" ref="S2:S24"/>
  </sortState>
  <mergeCells count="1">
    <mergeCell ref="O61:R85"/>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8EE9-3E02-4728-9DF6-8DBEA6022821}">
  <dimension ref="A22:K41"/>
  <sheetViews>
    <sheetView workbookViewId="0">
      <selection sqref="A1:A1048576"/>
    </sheetView>
  </sheetViews>
  <sheetFormatPr defaultRowHeight="12" x14ac:dyDescent="0.2"/>
  <cols>
    <col min="1" max="1" width="2.42578125" bestFit="1" customWidth="1"/>
    <col min="8" max="8" width="2.42578125" bestFit="1" customWidth="1"/>
    <col min="9" max="9" width="15.140625" bestFit="1" customWidth="1"/>
    <col min="10" max="10" width="12.42578125" bestFit="1" customWidth="1"/>
  </cols>
  <sheetData>
    <row r="22" spans="1:11" x14ac:dyDescent="0.2">
      <c r="A22" s="56" t="s">
        <v>72</v>
      </c>
      <c r="B22" t="s">
        <v>54</v>
      </c>
      <c r="I22" s="1" t="s">
        <v>55</v>
      </c>
      <c r="J22" s="1" t="s">
        <v>56</v>
      </c>
      <c r="K22" s="1" t="s">
        <v>62</v>
      </c>
    </row>
    <row r="23" spans="1:11" x14ac:dyDescent="0.2">
      <c r="A23" s="56" t="s">
        <v>77</v>
      </c>
      <c r="I23" t="s">
        <v>58</v>
      </c>
      <c r="J23">
        <v>104</v>
      </c>
      <c r="K23" s="26">
        <f>J23/$J$28</f>
        <v>0.08</v>
      </c>
    </row>
    <row r="24" spans="1:11" x14ac:dyDescent="0.2">
      <c r="A24" s="1"/>
      <c r="I24" t="s">
        <v>57</v>
      </c>
      <c r="J24">
        <v>130</v>
      </c>
      <c r="K24" s="26">
        <f t="shared" ref="K24:K28" si="0">J24/$J$28</f>
        <v>0.1</v>
      </c>
    </row>
    <row r="25" spans="1:11" x14ac:dyDescent="0.2">
      <c r="A25" s="1"/>
      <c r="I25" t="s">
        <v>61</v>
      </c>
      <c r="J25">
        <v>286</v>
      </c>
      <c r="K25" s="26">
        <f t="shared" si="0"/>
        <v>0.22</v>
      </c>
    </row>
    <row r="26" spans="1:11" x14ac:dyDescent="0.2">
      <c r="A26" s="1"/>
      <c r="I26" t="s">
        <v>59</v>
      </c>
      <c r="J26">
        <v>325</v>
      </c>
      <c r="K26" s="26">
        <f t="shared" si="0"/>
        <v>0.25</v>
      </c>
    </row>
    <row r="27" spans="1:11" x14ac:dyDescent="0.2">
      <c r="A27" s="1"/>
      <c r="I27" t="s">
        <v>60</v>
      </c>
      <c r="J27">
        <v>455</v>
      </c>
      <c r="K27" s="26">
        <f t="shared" si="0"/>
        <v>0.35</v>
      </c>
    </row>
    <row r="28" spans="1:11" x14ac:dyDescent="0.2">
      <c r="A28" s="1"/>
      <c r="J28">
        <f>SUM(J23:J27)</f>
        <v>1300</v>
      </c>
      <c r="K28" s="26">
        <f t="shared" si="0"/>
        <v>1</v>
      </c>
    </row>
    <row r="29" spans="1:11" x14ac:dyDescent="0.2">
      <c r="A29" s="1"/>
    </row>
    <row r="30" spans="1:11" x14ac:dyDescent="0.2">
      <c r="A30" s="1"/>
    </row>
    <row r="31" spans="1:11" x14ac:dyDescent="0.2">
      <c r="A31" s="1"/>
    </row>
    <row r="32" spans="1:11" x14ac:dyDescent="0.2">
      <c r="A32" s="1"/>
    </row>
    <row r="33" spans="1:10" x14ac:dyDescent="0.2">
      <c r="A33" s="1"/>
    </row>
    <row r="34" spans="1:10" x14ac:dyDescent="0.2">
      <c r="A34" s="1"/>
    </row>
    <row r="35" spans="1:10" x14ac:dyDescent="0.2">
      <c r="A35" s="56" t="s">
        <v>83</v>
      </c>
    </row>
    <row r="36" spans="1:10" x14ac:dyDescent="0.2">
      <c r="H36" s="33" t="s">
        <v>89</v>
      </c>
      <c r="I36" t="s">
        <v>58</v>
      </c>
      <c r="J36" s="22">
        <f>K23*$J$41</f>
        <v>80000</v>
      </c>
    </row>
    <row r="37" spans="1:10" x14ac:dyDescent="0.2">
      <c r="I37" t="s">
        <v>57</v>
      </c>
      <c r="J37" s="22">
        <f t="shared" ref="J37:J40" si="1">K24*$J$41</f>
        <v>100000</v>
      </c>
    </row>
    <row r="38" spans="1:10" x14ac:dyDescent="0.2">
      <c r="I38" t="s">
        <v>61</v>
      </c>
      <c r="J38" s="22">
        <f t="shared" si="1"/>
        <v>220000</v>
      </c>
    </row>
    <row r="39" spans="1:10" x14ac:dyDescent="0.2">
      <c r="I39" t="s">
        <v>59</v>
      </c>
      <c r="J39" s="22">
        <f t="shared" si="1"/>
        <v>250000</v>
      </c>
    </row>
    <row r="40" spans="1:10" x14ac:dyDescent="0.2">
      <c r="I40" t="s">
        <v>60</v>
      </c>
      <c r="J40" s="22">
        <f t="shared" si="1"/>
        <v>350000</v>
      </c>
    </row>
    <row r="41" spans="1:10" x14ac:dyDescent="0.2">
      <c r="J41" s="21">
        <v>1000000</v>
      </c>
    </row>
  </sheetData>
  <sortState xmlns:xlrd2="http://schemas.microsoft.com/office/spreadsheetml/2017/richdata2" ref="I23:J27">
    <sortCondition ref="J23:J27"/>
  </sortState>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3289-C416-4F24-A7DF-53A088EF72BA}">
  <dimension ref="A1:T72"/>
  <sheetViews>
    <sheetView zoomScaleNormal="100" workbookViewId="0">
      <selection activeCell="L3" activeCellId="4" sqref="D32 D36 D45 L28 L3"/>
    </sheetView>
  </sheetViews>
  <sheetFormatPr defaultRowHeight="12" x14ac:dyDescent="0.2"/>
  <cols>
    <col min="1" max="1" width="14" bestFit="1" customWidth="1"/>
    <col min="2" max="2" width="9.28515625" customWidth="1"/>
    <col min="10" max="10" width="10.140625" bestFit="1" customWidth="1"/>
    <col min="15" max="15" width="9.28515625" customWidth="1"/>
    <col min="16" max="16" width="15.28515625" bestFit="1" customWidth="1"/>
  </cols>
  <sheetData>
    <row r="1" spans="1:20" x14ac:dyDescent="0.2">
      <c r="L1" s="27" t="s">
        <v>84</v>
      </c>
      <c r="M1" s="85" t="s">
        <v>85</v>
      </c>
      <c r="N1" s="85"/>
      <c r="O1" s="85"/>
      <c r="P1" s="85"/>
      <c r="Q1" s="85"/>
      <c r="R1" s="85"/>
      <c r="S1" s="85"/>
      <c r="T1" s="85"/>
    </row>
    <row r="2" spans="1:20" x14ac:dyDescent="0.2">
      <c r="M2" s="85"/>
      <c r="N2" s="85"/>
      <c r="O2" s="85"/>
      <c r="P2" s="85"/>
      <c r="Q2" s="85"/>
      <c r="R2" s="85"/>
      <c r="S2" s="85"/>
      <c r="T2" s="85"/>
    </row>
    <row r="3" spans="1:20" ht="36" x14ac:dyDescent="0.2">
      <c r="L3" s="33" t="s">
        <v>89</v>
      </c>
      <c r="M3" s="34" t="s">
        <v>88</v>
      </c>
      <c r="N3" s="34" t="s">
        <v>80</v>
      </c>
      <c r="O3" s="34" t="s">
        <v>81</v>
      </c>
      <c r="P3" s="34" t="s">
        <v>87</v>
      </c>
      <c r="Q3" s="34" t="s">
        <v>86</v>
      </c>
      <c r="R3" s="34" t="s">
        <v>90</v>
      </c>
      <c r="S3" s="34" t="s">
        <v>91</v>
      </c>
    </row>
    <row r="4" spans="1:20" x14ac:dyDescent="0.2">
      <c r="M4" s="28">
        <v>1</v>
      </c>
      <c r="N4" s="40">
        <f>F39</f>
        <v>24</v>
      </c>
      <c r="O4" s="40">
        <f>N4+$F$35</f>
        <v>25.5</v>
      </c>
      <c r="P4" s="28" t="str">
        <f>TEXT(N4,"0.0")&amp;" up to "&amp;TEXT(O4,"0.0")</f>
        <v>24.0 up to 25.5</v>
      </c>
      <c r="Q4" s="28">
        <f>COUNTIFS(tDailyProduction[Units produced],"&lt;"&amp;O4,tDailyProduction[Units produced],"&gt;="&amp;N4)</f>
        <v>2</v>
      </c>
      <c r="R4" s="35">
        <f>Q4/$Q$9</f>
        <v>0.14285714285714285</v>
      </c>
      <c r="S4" s="28" t="str">
        <f>Q4&amp;"/"&amp;$Q$9</f>
        <v>2/14</v>
      </c>
    </row>
    <row r="5" spans="1:20" x14ac:dyDescent="0.2">
      <c r="M5" s="28">
        <v>2</v>
      </c>
      <c r="N5" s="40">
        <f>O4</f>
        <v>25.5</v>
      </c>
      <c r="O5" s="40">
        <f>N5+$F$35</f>
        <v>27</v>
      </c>
      <c r="P5" s="28" t="str">
        <f t="shared" ref="P5:P8" si="0">TEXT(N5,"0.0")&amp;" up to "&amp;TEXT(O5,"0.0")</f>
        <v>25.5 up to 27.0</v>
      </c>
      <c r="Q5" s="28">
        <f>COUNTIFS(tDailyProduction[Units produced],"&lt;"&amp;O5,tDailyProduction[Units produced],"&gt;="&amp;N5)</f>
        <v>4</v>
      </c>
      <c r="R5" s="35">
        <f>Q5/$Q$9</f>
        <v>0.2857142857142857</v>
      </c>
      <c r="S5" s="28" t="str">
        <f>Q5&amp;"/"&amp;$Q$9</f>
        <v>4/14</v>
      </c>
    </row>
    <row r="6" spans="1:20" x14ac:dyDescent="0.2">
      <c r="M6" s="28">
        <v>3</v>
      </c>
      <c r="N6" s="40">
        <f t="shared" ref="N6:N8" si="1">O5</f>
        <v>27</v>
      </c>
      <c r="O6" s="40">
        <f>N6+$F$35</f>
        <v>28.5</v>
      </c>
      <c r="P6" s="28" t="str">
        <f t="shared" si="0"/>
        <v>27.0 up to 28.5</v>
      </c>
      <c r="Q6" s="28">
        <f>COUNTIFS(tDailyProduction[Units produced],"&lt;"&amp;O6,tDailyProduction[Units produced],"&gt;="&amp;N6)</f>
        <v>8</v>
      </c>
      <c r="R6" s="35">
        <f>Q6/$Q$9</f>
        <v>0.5714285714285714</v>
      </c>
      <c r="S6" s="28" t="str">
        <f>Q6&amp;"/"&amp;$Q$9</f>
        <v>8/14</v>
      </c>
    </row>
    <row r="7" spans="1:20" x14ac:dyDescent="0.2">
      <c r="M7" s="28">
        <v>4</v>
      </c>
      <c r="N7" s="40">
        <f t="shared" si="1"/>
        <v>28.5</v>
      </c>
      <c r="O7" s="40">
        <f>N7+$F$35</f>
        <v>30</v>
      </c>
      <c r="P7" s="28" t="str">
        <f t="shared" si="0"/>
        <v>28.5 up to 30.0</v>
      </c>
      <c r="Q7" s="28">
        <f>COUNTIFS(tDailyProduction[Units produced],"&lt;"&amp;O7,tDailyProduction[Units produced],"&gt;="&amp;N7)</f>
        <v>0</v>
      </c>
      <c r="R7" s="35">
        <f>Q7/$Q$9</f>
        <v>0</v>
      </c>
      <c r="S7" s="28" t="str">
        <f>Q7&amp;"/"&amp;$Q$9</f>
        <v>0/14</v>
      </c>
    </row>
    <row r="8" spans="1:20" x14ac:dyDescent="0.2">
      <c r="M8" s="28">
        <v>5</v>
      </c>
      <c r="N8" s="40">
        <f t="shared" si="1"/>
        <v>30</v>
      </c>
      <c r="O8" s="40">
        <f>N8+$F$35</f>
        <v>31.5</v>
      </c>
      <c r="P8" s="28" t="str">
        <f t="shared" si="0"/>
        <v>30.0 up to 31.5</v>
      </c>
      <c r="Q8" s="28">
        <f>COUNTIFS(tDailyProduction[Units produced],"&lt;"&amp;O8,tDailyProduction[Units produced],"&gt;="&amp;N8)</f>
        <v>2</v>
      </c>
      <c r="R8" s="35">
        <f>Q8/$Q$9</f>
        <v>0.14285714285714285</v>
      </c>
      <c r="S8" s="28" t="str">
        <f>Q8&amp;"/"&amp;$Q$9</f>
        <v>2/14</v>
      </c>
    </row>
    <row r="9" spans="1:20" x14ac:dyDescent="0.2">
      <c r="Q9" s="28">
        <f>SUM(Q4:Q7)</f>
        <v>14</v>
      </c>
      <c r="R9" s="35">
        <f>SUM(R4:R7)</f>
        <v>1</v>
      </c>
    </row>
    <row r="15" spans="1:20" ht="24.75" customHeight="1" x14ac:dyDescent="0.2">
      <c r="A15" s="28" t="s">
        <v>66</v>
      </c>
      <c r="B15" s="29" t="s">
        <v>65</v>
      </c>
      <c r="D15" s="27" t="s">
        <v>68</v>
      </c>
      <c r="E15" s="1" t="s">
        <v>74</v>
      </c>
    </row>
    <row r="16" spans="1:20" x14ac:dyDescent="0.2">
      <c r="A16" s="28">
        <v>1</v>
      </c>
      <c r="B16" s="28">
        <v>27</v>
      </c>
      <c r="D16" s="32"/>
      <c r="E16" s="28" t="s">
        <v>70</v>
      </c>
      <c r="F16" s="28" t="s">
        <v>71</v>
      </c>
    </row>
    <row r="17" spans="1:20" x14ac:dyDescent="0.2">
      <c r="A17" s="28">
        <v>2</v>
      </c>
      <c r="B17" s="28">
        <v>27</v>
      </c>
      <c r="D17" s="32"/>
      <c r="E17" s="28">
        <v>0</v>
      </c>
      <c r="F17" s="28">
        <f>2^E17</f>
        <v>1</v>
      </c>
    </row>
    <row r="18" spans="1:20" x14ac:dyDescent="0.2">
      <c r="A18" s="28">
        <v>3</v>
      </c>
      <c r="B18" s="28">
        <v>27</v>
      </c>
      <c r="D18" s="32"/>
      <c r="E18" s="28">
        <v>1</v>
      </c>
      <c r="F18" s="28">
        <f t="shared" ref="F18:F30" si="2">2^E18</f>
        <v>2</v>
      </c>
    </row>
    <row r="19" spans="1:20" x14ac:dyDescent="0.2">
      <c r="A19" s="28">
        <v>4</v>
      </c>
      <c r="B19" s="28">
        <v>28</v>
      </c>
      <c r="D19" s="32"/>
      <c r="E19" s="28">
        <v>2</v>
      </c>
      <c r="F19" s="28">
        <f t="shared" si="2"/>
        <v>4</v>
      </c>
    </row>
    <row r="20" spans="1:20" x14ac:dyDescent="0.2">
      <c r="A20" s="28">
        <v>5</v>
      </c>
      <c r="B20" s="28">
        <v>27</v>
      </c>
      <c r="D20" s="32"/>
      <c r="E20" s="28">
        <v>3</v>
      </c>
      <c r="F20" s="28">
        <f t="shared" si="2"/>
        <v>8</v>
      </c>
    </row>
    <row r="21" spans="1:20" x14ac:dyDescent="0.2">
      <c r="A21" s="28">
        <v>6</v>
      </c>
      <c r="B21" s="28">
        <v>25</v>
      </c>
      <c r="D21" s="32"/>
      <c r="E21" s="30">
        <v>4</v>
      </c>
      <c r="F21" s="30">
        <f t="shared" si="2"/>
        <v>16</v>
      </c>
    </row>
    <row r="22" spans="1:20" x14ac:dyDescent="0.2">
      <c r="A22" s="28">
        <v>7</v>
      </c>
      <c r="B22" s="28">
        <v>25</v>
      </c>
      <c r="D22" s="32"/>
      <c r="E22" s="28">
        <v>5</v>
      </c>
      <c r="F22" s="28">
        <f t="shared" si="2"/>
        <v>32</v>
      </c>
    </row>
    <row r="23" spans="1:20" x14ac:dyDescent="0.2">
      <c r="A23" s="28">
        <v>8</v>
      </c>
      <c r="B23" s="28">
        <v>28</v>
      </c>
      <c r="D23" s="32"/>
      <c r="E23" s="28">
        <v>6</v>
      </c>
      <c r="F23" s="28">
        <f t="shared" si="2"/>
        <v>64</v>
      </c>
    </row>
    <row r="24" spans="1:20" x14ac:dyDescent="0.2">
      <c r="A24" s="28">
        <v>9</v>
      </c>
      <c r="B24" s="28">
        <v>26</v>
      </c>
      <c r="D24" s="32"/>
      <c r="E24" s="28">
        <v>7</v>
      </c>
      <c r="F24" s="28">
        <f t="shared" si="2"/>
        <v>128</v>
      </c>
    </row>
    <row r="25" spans="1:20" x14ac:dyDescent="0.2">
      <c r="A25" s="28">
        <v>10</v>
      </c>
      <c r="B25" s="28">
        <v>28</v>
      </c>
      <c r="D25" s="32"/>
      <c r="E25" s="28">
        <v>8</v>
      </c>
      <c r="F25" s="28">
        <f t="shared" si="2"/>
        <v>256</v>
      </c>
    </row>
    <row r="26" spans="1:20" x14ac:dyDescent="0.2">
      <c r="A26" s="28">
        <v>11</v>
      </c>
      <c r="B26" s="28">
        <v>26</v>
      </c>
      <c r="D26" s="32"/>
      <c r="E26" s="28">
        <v>9</v>
      </c>
      <c r="F26" s="28">
        <f t="shared" si="2"/>
        <v>512</v>
      </c>
    </row>
    <row r="27" spans="1:20" x14ac:dyDescent="0.2">
      <c r="A27" s="28">
        <v>12</v>
      </c>
      <c r="B27" s="28">
        <v>28</v>
      </c>
      <c r="D27" s="32"/>
      <c r="E27" s="28">
        <v>10</v>
      </c>
      <c r="F27" s="28">
        <f t="shared" si="2"/>
        <v>1024</v>
      </c>
    </row>
    <row r="28" spans="1:20" x14ac:dyDescent="0.2">
      <c r="A28" s="28">
        <v>13</v>
      </c>
      <c r="B28" s="28">
        <v>31</v>
      </c>
      <c r="D28" s="32"/>
      <c r="E28" s="28">
        <v>11</v>
      </c>
      <c r="F28" s="28">
        <f t="shared" si="2"/>
        <v>2048</v>
      </c>
      <c r="L28" s="33" t="s">
        <v>92</v>
      </c>
      <c r="M28" s="84" t="s">
        <v>93</v>
      </c>
      <c r="N28" s="84"/>
      <c r="O28" s="84"/>
      <c r="P28" s="84"/>
      <c r="Q28" s="84"/>
      <c r="R28" s="84"/>
      <c r="S28" s="84"/>
      <c r="T28" s="84"/>
    </row>
    <row r="29" spans="1:20" x14ac:dyDescent="0.2">
      <c r="A29" s="28">
        <v>14</v>
      </c>
      <c r="B29" s="28">
        <v>30</v>
      </c>
      <c r="D29" s="32"/>
      <c r="E29" s="28">
        <v>12</v>
      </c>
      <c r="F29" s="28">
        <f t="shared" si="2"/>
        <v>4096</v>
      </c>
      <c r="M29" s="84"/>
      <c r="N29" s="84"/>
      <c r="O29" s="84"/>
      <c r="P29" s="84"/>
      <c r="Q29" s="84"/>
      <c r="R29" s="84"/>
      <c r="S29" s="84"/>
      <c r="T29" s="84"/>
    </row>
    <row r="30" spans="1:20" x14ac:dyDescent="0.2">
      <c r="A30" s="28">
        <v>15</v>
      </c>
      <c r="B30" s="28">
        <v>26</v>
      </c>
      <c r="D30" s="32"/>
      <c r="E30" s="28">
        <v>13</v>
      </c>
      <c r="F30" s="28">
        <f t="shared" si="2"/>
        <v>8192</v>
      </c>
    </row>
    <row r="31" spans="1:20" x14ac:dyDescent="0.2">
      <c r="A31" s="28">
        <v>16</v>
      </c>
      <c r="B31" s="28">
        <v>26</v>
      </c>
      <c r="D31" s="32"/>
      <c r="E31" s="28" t="s">
        <v>70</v>
      </c>
      <c r="F31" s="28">
        <f>E21+1</f>
        <v>5</v>
      </c>
    </row>
    <row r="32" spans="1:20" x14ac:dyDescent="0.2">
      <c r="D32" s="33" t="s">
        <v>72</v>
      </c>
      <c r="E32" t="str">
        <f>"We will use "&amp;F31&amp;" classes"</f>
        <v>We will use 5 classes</v>
      </c>
    </row>
    <row r="33" spans="1:14" x14ac:dyDescent="0.2">
      <c r="A33" s="28" t="s">
        <v>63</v>
      </c>
      <c r="B33" s="28">
        <f>MIN(tDailyProduction[Units produced])</f>
        <v>25</v>
      </c>
      <c r="D33" s="27" t="s">
        <v>73</v>
      </c>
      <c r="E33" s="1" t="s">
        <v>75</v>
      </c>
    </row>
    <row r="34" spans="1:14" x14ac:dyDescent="0.2">
      <c r="A34" s="28" t="s">
        <v>64</v>
      </c>
      <c r="B34" s="28">
        <f>MAX(tDailyProduction[Units produced])</f>
        <v>31</v>
      </c>
      <c r="D34" s="32"/>
      <c r="E34" t="s">
        <v>102</v>
      </c>
      <c r="F34" s="28">
        <f>B35/F31</f>
        <v>1.2</v>
      </c>
    </row>
    <row r="35" spans="1:14" x14ac:dyDescent="0.2">
      <c r="A35" s="28" t="s">
        <v>67</v>
      </c>
      <c r="B35" s="28">
        <f>B34-B33</f>
        <v>6</v>
      </c>
      <c r="E35" s="28" t="s">
        <v>76</v>
      </c>
      <c r="F35" s="28">
        <v>1.5</v>
      </c>
    </row>
    <row r="36" spans="1:14" x14ac:dyDescent="0.2">
      <c r="A36" s="28" t="s">
        <v>69</v>
      </c>
      <c r="B36" s="28">
        <f>COUNT(tDailyProduction[Units produced])</f>
        <v>16</v>
      </c>
      <c r="D36" s="33" t="s">
        <v>77</v>
      </c>
      <c r="E36" t="str">
        <f>"I would suggest an interval of "&amp;F35</f>
        <v>I would suggest an interval of 1.5</v>
      </c>
    </row>
    <row r="37" spans="1:14" x14ac:dyDescent="0.2">
      <c r="D37" s="27" t="s">
        <v>78</v>
      </c>
      <c r="E37" s="1" t="s">
        <v>79</v>
      </c>
    </row>
    <row r="38" spans="1:14" x14ac:dyDescent="0.2">
      <c r="D38" s="32"/>
      <c r="E38" s="31" t="s">
        <v>82</v>
      </c>
      <c r="F38" s="31" t="s">
        <v>80</v>
      </c>
      <c r="G38" s="31" t="s">
        <v>81</v>
      </c>
    </row>
    <row r="39" spans="1:14" x14ac:dyDescent="0.2">
      <c r="D39" s="32"/>
      <c r="E39" s="28">
        <v>1</v>
      </c>
      <c r="F39" s="28">
        <f>ROUNDDOWN(B33-F35/2,0)</f>
        <v>24</v>
      </c>
      <c r="G39" s="28">
        <f>F39+$F$35</f>
        <v>25.5</v>
      </c>
      <c r="M39" s="31"/>
      <c r="N39" s="31"/>
    </row>
    <row r="40" spans="1:14" x14ac:dyDescent="0.2">
      <c r="D40" s="32"/>
      <c r="E40" s="28">
        <v>2</v>
      </c>
      <c r="F40" s="28">
        <f>G39</f>
        <v>25.5</v>
      </c>
      <c r="G40" s="28">
        <f>F40+$F$35</f>
        <v>27</v>
      </c>
    </row>
    <row r="41" spans="1:14" x14ac:dyDescent="0.2">
      <c r="D41" s="32"/>
      <c r="E41" s="28">
        <v>3</v>
      </c>
      <c r="F41" s="28">
        <f t="shared" ref="F41:F43" si="3">G40</f>
        <v>27</v>
      </c>
      <c r="G41" s="28">
        <f>F41+$F$35</f>
        <v>28.5</v>
      </c>
    </row>
    <row r="42" spans="1:14" x14ac:dyDescent="0.2">
      <c r="D42" s="32"/>
      <c r="E42" s="28">
        <v>4</v>
      </c>
      <c r="F42" s="28">
        <f t="shared" si="3"/>
        <v>28.5</v>
      </c>
      <c r="G42" s="28">
        <f>F42+$F$35</f>
        <v>30</v>
      </c>
    </row>
    <row r="43" spans="1:14" x14ac:dyDescent="0.2">
      <c r="E43" s="28">
        <v>5</v>
      </c>
      <c r="F43" s="28">
        <f t="shared" si="3"/>
        <v>30</v>
      </c>
      <c r="G43" s="28">
        <f>F43+$F$35</f>
        <v>31.5</v>
      </c>
    </row>
    <row r="45" spans="1:14" x14ac:dyDescent="0.2">
      <c r="D45" s="33" t="s">
        <v>83</v>
      </c>
      <c r="E45" t="str">
        <f>"I would recommend a lower limit of "&amp;F39&amp;" for the first class."</f>
        <v>I would recommend a lower limit of 24 for the first class.</v>
      </c>
    </row>
    <row r="71" spans="5:6" x14ac:dyDescent="0.2">
      <c r="E71" s="28"/>
      <c r="F71" s="28"/>
    </row>
    <row r="72" spans="5:6" x14ac:dyDescent="0.2">
      <c r="E72" s="28"/>
      <c r="F72" s="28"/>
    </row>
  </sheetData>
  <mergeCells count="2">
    <mergeCell ref="M28:T29"/>
    <mergeCell ref="M1:T2"/>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B798A-CA68-4EAA-B3E5-B15615188EB7}">
  <dimension ref="A16:I67"/>
  <sheetViews>
    <sheetView zoomScale="96" workbookViewId="0">
      <selection activeCell="G16" sqref="G16:I37"/>
    </sheetView>
  </sheetViews>
  <sheetFormatPr defaultRowHeight="12" x14ac:dyDescent="0.2"/>
  <cols>
    <col min="1" max="1" width="13.140625" customWidth="1"/>
    <col min="7" max="7" width="3.5703125" customWidth="1"/>
    <col min="8" max="8" width="10.140625" bestFit="1" customWidth="1"/>
    <col min="9" max="9" width="12.140625" customWidth="1"/>
    <col min="10" max="10" width="10.140625" bestFit="1" customWidth="1"/>
    <col min="11" max="11" width="11.42578125" customWidth="1"/>
  </cols>
  <sheetData>
    <row r="16" spans="1:9" x14ac:dyDescent="0.2">
      <c r="A16" t="s">
        <v>94</v>
      </c>
      <c r="B16" t="s">
        <v>95</v>
      </c>
      <c r="G16" s="33" t="s">
        <v>72</v>
      </c>
      <c r="H16" s="31" t="s">
        <v>95</v>
      </c>
      <c r="I16" s="31" t="s">
        <v>97</v>
      </c>
    </row>
    <row r="17" spans="1:9" x14ac:dyDescent="0.2">
      <c r="A17">
        <v>1</v>
      </c>
      <c r="B17">
        <v>5</v>
      </c>
      <c r="D17" s="32" t="s">
        <v>63</v>
      </c>
      <c r="E17">
        <v>0</v>
      </c>
      <c r="H17" s="28" t="str">
        <f t="shared" ref="H17:H22" si="0">E24&amp;" up to "&amp;F24</f>
        <v>0 up to 3</v>
      </c>
      <c r="I17" s="28">
        <f>COUNTIFS(tCustVisit[Visits],"&lt;"&amp;F24,tCustVisit[Visits],"&gt;="&amp;E24)</f>
        <v>9</v>
      </c>
    </row>
    <row r="18" spans="1:9" x14ac:dyDescent="0.2">
      <c r="A18">
        <v>2</v>
      </c>
      <c r="B18">
        <v>1</v>
      </c>
      <c r="D18" s="32" t="s">
        <v>64</v>
      </c>
      <c r="E18">
        <f>MAX(tCustVisit[Visits])</f>
        <v>15</v>
      </c>
      <c r="H18" s="28" t="str">
        <f t="shared" si="0"/>
        <v>3 up to 6</v>
      </c>
      <c r="I18" s="28">
        <f>COUNTIFS(tCustVisit[Visits],"&lt;"&amp;F25,tCustVisit[Visits],"&gt;="&amp;E25)</f>
        <v>21</v>
      </c>
    </row>
    <row r="19" spans="1:9" x14ac:dyDescent="0.2">
      <c r="A19">
        <v>3</v>
      </c>
      <c r="B19">
        <v>8</v>
      </c>
      <c r="D19" s="32" t="s">
        <v>67</v>
      </c>
      <c r="E19">
        <f>E18-E17</f>
        <v>15</v>
      </c>
      <c r="H19" s="28" t="str">
        <f t="shared" si="0"/>
        <v>6 up to 9</v>
      </c>
      <c r="I19" s="28">
        <f>COUNTIFS(tCustVisit[Visits],"&lt;"&amp;F26,tCustVisit[Visits],"&gt;="&amp;E26)</f>
        <v>13</v>
      </c>
    </row>
    <row r="20" spans="1:9" x14ac:dyDescent="0.2">
      <c r="A20">
        <v>4</v>
      </c>
      <c r="B20">
        <v>1</v>
      </c>
      <c r="D20" s="32" t="s">
        <v>69</v>
      </c>
      <c r="E20">
        <f>COUNT(tCustVisit[Customer '#])</f>
        <v>51</v>
      </c>
      <c r="H20" s="28" t="str">
        <f t="shared" si="0"/>
        <v>9 up to 12</v>
      </c>
      <c r="I20" s="28">
        <f>COUNTIFS(tCustVisit[Visits],"&lt;"&amp;F27,tCustVisit[Visits],"&gt;="&amp;E27)</f>
        <v>4</v>
      </c>
    </row>
    <row r="21" spans="1:9" x14ac:dyDescent="0.2">
      <c r="A21">
        <v>5</v>
      </c>
      <c r="B21">
        <v>3</v>
      </c>
      <c r="D21" s="32" t="s">
        <v>96</v>
      </c>
      <c r="E21">
        <v>3</v>
      </c>
      <c r="H21" s="28" t="str">
        <f t="shared" si="0"/>
        <v>12 up to 15</v>
      </c>
      <c r="I21" s="28">
        <f>COUNTIFS(tCustVisit[Visits],"&lt;"&amp;F28,tCustVisit[Visits],"&gt;="&amp;E28)</f>
        <v>3</v>
      </c>
    </row>
    <row r="22" spans="1:9" x14ac:dyDescent="0.2">
      <c r="A22">
        <v>6</v>
      </c>
      <c r="B22">
        <v>14</v>
      </c>
      <c r="H22" s="37" t="str">
        <f t="shared" si="0"/>
        <v>15 up to 18</v>
      </c>
      <c r="I22" s="37">
        <f>COUNTIFS(tCustVisit[Visits],"&lt;"&amp;F29,tCustVisit[Visits],"&gt;="&amp;E29)</f>
        <v>1</v>
      </c>
    </row>
    <row r="23" spans="1:9" x14ac:dyDescent="0.2">
      <c r="A23">
        <v>7</v>
      </c>
      <c r="B23">
        <v>4</v>
      </c>
      <c r="D23" s="31" t="s">
        <v>82</v>
      </c>
      <c r="E23" s="31" t="s">
        <v>98</v>
      </c>
      <c r="F23" s="31" t="s">
        <v>99</v>
      </c>
      <c r="H23" s="31" t="s">
        <v>100</v>
      </c>
      <c r="I23" s="31">
        <f>SUM(I17:I22)</f>
        <v>51</v>
      </c>
    </row>
    <row r="24" spans="1:9" x14ac:dyDescent="0.2">
      <c r="A24">
        <v>8</v>
      </c>
      <c r="B24">
        <v>10</v>
      </c>
      <c r="D24" s="28">
        <v>1</v>
      </c>
      <c r="E24" s="28">
        <f>E17</f>
        <v>0</v>
      </c>
      <c r="F24" s="28">
        <f t="shared" ref="F24:F29" si="1">E24+$E$21</f>
        <v>3</v>
      </c>
    </row>
    <row r="25" spans="1:9" x14ac:dyDescent="0.2">
      <c r="A25">
        <v>9</v>
      </c>
      <c r="B25">
        <v>3</v>
      </c>
      <c r="D25" s="28">
        <v>2</v>
      </c>
      <c r="E25" s="28">
        <f>F24</f>
        <v>3</v>
      </c>
      <c r="F25" s="28">
        <f t="shared" si="1"/>
        <v>6</v>
      </c>
      <c r="G25" s="33" t="s">
        <v>77</v>
      </c>
      <c r="H25" s="86" t="s">
        <v>101</v>
      </c>
      <c r="I25" s="86"/>
    </row>
    <row r="26" spans="1:9" x14ac:dyDescent="0.2">
      <c r="A26">
        <v>10</v>
      </c>
      <c r="B26">
        <v>1</v>
      </c>
      <c r="D26" s="28">
        <v>3</v>
      </c>
      <c r="E26" s="28">
        <f t="shared" ref="E26:E29" si="2">F25</f>
        <v>6</v>
      </c>
      <c r="F26" s="28">
        <f t="shared" si="1"/>
        <v>9</v>
      </c>
      <c r="H26" s="86"/>
      <c r="I26" s="86"/>
    </row>
    <row r="27" spans="1:9" x14ac:dyDescent="0.2">
      <c r="A27">
        <v>11</v>
      </c>
      <c r="B27">
        <v>7</v>
      </c>
      <c r="D27" s="28">
        <v>4</v>
      </c>
      <c r="E27" s="28">
        <f t="shared" si="2"/>
        <v>9</v>
      </c>
      <c r="F27" s="28">
        <f t="shared" si="1"/>
        <v>12</v>
      </c>
      <c r="H27" s="86"/>
      <c r="I27" s="86"/>
    </row>
    <row r="28" spans="1:9" x14ac:dyDescent="0.2">
      <c r="A28">
        <v>12</v>
      </c>
      <c r="B28">
        <v>8</v>
      </c>
      <c r="D28" s="28">
        <v>5</v>
      </c>
      <c r="E28" s="28">
        <f t="shared" si="2"/>
        <v>12</v>
      </c>
      <c r="F28" s="28">
        <f t="shared" si="1"/>
        <v>15</v>
      </c>
      <c r="H28" s="86"/>
      <c r="I28" s="86"/>
    </row>
    <row r="29" spans="1:9" x14ac:dyDescent="0.2">
      <c r="A29">
        <v>13</v>
      </c>
      <c r="B29">
        <v>1</v>
      </c>
      <c r="D29" s="28">
        <v>6</v>
      </c>
      <c r="E29" s="28">
        <f t="shared" si="2"/>
        <v>15</v>
      </c>
      <c r="F29" s="28">
        <f t="shared" si="1"/>
        <v>18</v>
      </c>
    </row>
    <row r="30" spans="1:9" ht="11.65" customHeight="1" x14ac:dyDescent="0.2">
      <c r="A30">
        <v>14</v>
      </c>
      <c r="B30">
        <v>2</v>
      </c>
      <c r="G30" s="33" t="s">
        <v>83</v>
      </c>
      <c r="H30" s="34" t="s">
        <v>95</v>
      </c>
      <c r="I30" s="34" t="s">
        <v>90</v>
      </c>
    </row>
    <row r="31" spans="1:9" x14ac:dyDescent="0.2">
      <c r="A31">
        <v>15</v>
      </c>
      <c r="B31">
        <v>6</v>
      </c>
      <c r="H31" s="28" t="str">
        <f t="shared" ref="H31:H36" si="3">E24&amp;" up to "&amp;F24</f>
        <v>0 up to 3</v>
      </c>
      <c r="I31" s="39">
        <f t="shared" ref="I31:I37" si="4">I17/$I$23*100</f>
        <v>17.647058823529413</v>
      </c>
    </row>
    <row r="32" spans="1:9" x14ac:dyDescent="0.2">
      <c r="A32">
        <v>16</v>
      </c>
      <c r="B32">
        <v>9</v>
      </c>
      <c r="H32" s="28" t="str">
        <f t="shared" si="3"/>
        <v>3 up to 6</v>
      </c>
      <c r="I32" s="39">
        <f t="shared" si="4"/>
        <v>41.17647058823529</v>
      </c>
    </row>
    <row r="33" spans="1:9" x14ac:dyDescent="0.2">
      <c r="A33">
        <v>17</v>
      </c>
      <c r="B33">
        <v>4</v>
      </c>
      <c r="H33" s="28" t="str">
        <f t="shared" si="3"/>
        <v>6 up to 9</v>
      </c>
      <c r="I33" s="39">
        <f t="shared" si="4"/>
        <v>25.490196078431371</v>
      </c>
    </row>
    <row r="34" spans="1:9" x14ac:dyDescent="0.2">
      <c r="A34">
        <v>18</v>
      </c>
      <c r="B34">
        <v>4</v>
      </c>
      <c r="H34" s="28" t="str">
        <f t="shared" si="3"/>
        <v>9 up to 12</v>
      </c>
      <c r="I34" s="39">
        <f t="shared" si="4"/>
        <v>7.8431372549019605</v>
      </c>
    </row>
    <row r="35" spans="1:9" x14ac:dyDescent="0.2">
      <c r="A35">
        <v>19</v>
      </c>
      <c r="B35">
        <v>5</v>
      </c>
      <c r="H35" s="28" t="str">
        <f t="shared" si="3"/>
        <v>12 up to 15</v>
      </c>
      <c r="I35" s="39">
        <f t="shared" si="4"/>
        <v>5.8823529411764701</v>
      </c>
    </row>
    <row r="36" spans="1:9" x14ac:dyDescent="0.2">
      <c r="A36">
        <v>20</v>
      </c>
      <c r="B36">
        <v>2</v>
      </c>
      <c r="H36" s="37" t="str">
        <f t="shared" si="3"/>
        <v>15 up to 18</v>
      </c>
      <c r="I36" s="41">
        <f t="shared" si="4"/>
        <v>1.9607843137254901</v>
      </c>
    </row>
    <row r="37" spans="1:9" x14ac:dyDescent="0.2">
      <c r="A37">
        <v>21</v>
      </c>
      <c r="B37">
        <v>4</v>
      </c>
      <c r="H37" s="31" t="s">
        <v>100</v>
      </c>
      <c r="I37" s="42">
        <f t="shared" si="4"/>
        <v>100</v>
      </c>
    </row>
    <row r="38" spans="1:9" x14ac:dyDescent="0.2">
      <c r="A38">
        <v>22</v>
      </c>
      <c r="B38">
        <v>4</v>
      </c>
    </row>
    <row r="39" spans="1:9" x14ac:dyDescent="0.2">
      <c r="A39">
        <v>23</v>
      </c>
      <c r="B39">
        <v>9</v>
      </c>
    </row>
    <row r="40" spans="1:9" x14ac:dyDescent="0.2">
      <c r="A40">
        <v>24</v>
      </c>
      <c r="B40">
        <v>12</v>
      </c>
    </row>
    <row r="41" spans="1:9" x14ac:dyDescent="0.2">
      <c r="A41">
        <v>25</v>
      </c>
      <c r="B41">
        <v>5</v>
      </c>
    </row>
    <row r="42" spans="1:9" x14ac:dyDescent="0.2">
      <c r="A42">
        <v>26</v>
      </c>
      <c r="B42">
        <v>4</v>
      </c>
    </row>
    <row r="43" spans="1:9" x14ac:dyDescent="0.2">
      <c r="A43">
        <v>27</v>
      </c>
      <c r="B43">
        <v>11</v>
      </c>
    </row>
    <row r="44" spans="1:9" x14ac:dyDescent="0.2">
      <c r="A44">
        <v>28</v>
      </c>
      <c r="B44">
        <v>6</v>
      </c>
    </row>
    <row r="45" spans="1:9" x14ac:dyDescent="0.2">
      <c r="A45">
        <v>29</v>
      </c>
      <c r="B45">
        <v>5</v>
      </c>
    </row>
    <row r="46" spans="1:9" x14ac:dyDescent="0.2">
      <c r="A46">
        <v>30</v>
      </c>
      <c r="B46">
        <v>3</v>
      </c>
    </row>
    <row r="47" spans="1:9" x14ac:dyDescent="0.2">
      <c r="A47">
        <v>31</v>
      </c>
      <c r="B47">
        <v>4</v>
      </c>
    </row>
    <row r="48" spans="1:9" x14ac:dyDescent="0.2">
      <c r="A48">
        <v>32</v>
      </c>
      <c r="B48">
        <v>6</v>
      </c>
    </row>
    <row r="49" spans="1:2" x14ac:dyDescent="0.2">
      <c r="A49">
        <v>33</v>
      </c>
      <c r="B49">
        <v>12</v>
      </c>
    </row>
    <row r="50" spans="1:2" x14ac:dyDescent="0.2">
      <c r="A50">
        <v>34</v>
      </c>
      <c r="B50">
        <v>2</v>
      </c>
    </row>
    <row r="51" spans="1:2" x14ac:dyDescent="0.2">
      <c r="A51">
        <v>35</v>
      </c>
      <c r="B51">
        <v>3</v>
      </c>
    </row>
    <row r="52" spans="1:2" x14ac:dyDescent="0.2">
      <c r="A52">
        <v>36</v>
      </c>
      <c r="B52">
        <v>4</v>
      </c>
    </row>
    <row r="53" spans="1:2" x14ac:dyDescent="0.2">
      <c r="A53">
        <v>37</v>
      </c>
      <c r="B53">
        <v>6</v>
      </c>
    </row>
    <row r="54" spans="1:2" x14ac:dyDescent="0.2">
      <c r="A54">
        <v>38</v>
      </c>
      <c r="B54">
        <v>5</v>
      </c>
    </row>
    <row r="55" spans="1:2" x14ac:dyDescent="0.2">
      <c r="A55">
        <v>39</v>
      </c>
      <c r="B55">
        <v>7</v>
      </c>
    </row>
    <row r="56" spans="1:2" x14ac:dyDescent="0.2">
      <c r="A56">
        <v>40</v>
      </c>
      <c r="B56">
        <v>6</v>
      </c>
    </row>
    <row r="57" spans="1:2" x14ac:dyDescent="0.2">
      <c r="A57">
        <v>41</v>
      </c>
      <c r="B57">
        <v>3</v>
      </c>
    </row>
    <row r="58" spans="1:2" x14ac:dyDescent="0.2">
      <c r="A58">
        <v>42</v>
      </c>
      <c r="B58">
        <v>6</v>
      </c>
    </row>
    <row r="59" spans="1:2" x14ac:dyDescent="0.2">
      <c r="A59">
        <v>43</v>
      </c>
      <c r="B59">
        <v>6</v>
      </c>
    </row>
    <row r="60" spans="1:2" x14ac:dyDescent="0.2">
      <c r="A60">
        <v>44</v>
      </c>
      <c r="B60">
        <v>4</v>
      </c>
    </row>
    <row r="61" spans="1:2" x14ac:dyDescent="0.2">
      <c r="A61">
        <v>45</v>
      </c>
      <c r="B61">
        <v>5</v>
      </c>
    </row>
    <row r="62" spans="1:2" x14ac:dyDescent="0.2">
      <c r="A62">
        <v>46</v>
      </c>
      <c r="B62">
        <v>7</v>
      </c>
    </row>
    <row r="63" spans="1:2" x14ac:dyDescent="0.2">
      <c r="A63">
        <v>47</v>
      </c>
      <c r="B63">
        <v>5</v>
      </c>
    </row>
    <row r="64" spans="1:2" x14ac:dyDescent="0.2">
      <c r="A64">
        <v>48</v>
      </c>
      <c r="B64">
        <v>15</v>
      </c>
    </row>
    <row r="65" spans="1:2" x14ac:dyDescent="0.2">
      <c r="A65">
        <v>49</v>
      </c>
      <c r="B65">
        <v>1</v>
      </c>
    </row>
    <row r="66" spans="1:2" x14ac:dyDescent="0.2">
      <c r="A66">
        <v>50</v>
      </c>
      <c r="B66">
        <v>6</v>
      </c>
    </row>
    <row r="67" spans="1:2" x14ac:dyDescent="0.2">
      <c r="A67">
        <v>51</v>
      </c>
      <c r="B67">
        <v>1</v>
      </c>
    </row>
  </sheetData>
  <mergeCells count="1">
    <mergeCell ref="H25:I2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1-1</vt:lpstr>
      <vt:lpstr>1-9</vt:lpstr>
      <vt:lpstr>1-11</vt:lpstr>
      <vt:lpstr>1-13</vt:lpstr>
      <vt:lpstr>1-17</vt:lpstr>
      <vt:lpstr>2-5</vt:lpstr>
      <vt:lpstr>2-11</vt:lpstr>
      <vt:lpstr>2-13</vt:lpstr>
      <vt:lpstr>2-17</vt:lpstr>
      <vt:lpstr>2-21</vt:lpstr>
      <vt:lpstr>2-29</vt:lpstr>
      <vt:lpstr>2-31</vt:lpstr>
      <vt:lpstr>2-37</vt:lpstr>
      <vt:lpstr>2-45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2020-08-29T01:28:22Z</dcterms:created>
  <dcterms:modified xsi:type="dcterms:W3CDTF">2020-09-17T02:51:29Z</dcterms:modified>
</cp:coreProperties>
</file>