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User Archive\Spheres\BIZ\_education\Data Science\Formal\CSULB MSIS\IS 601\Homework\"/>
    </mc:Choice>
  </mc:AlternateContent>
  <xr:revisionPtr revIDLastSave="0" documentId="13_ncr:1_{E5513959-5A37-4B8D-811B-80D5AC5D5F2B}" xr6:coauthVersionLast="45" xr6:coauthVersionMax="45" xr10:uidLastSave="{00000000-0000-0000-0000-000000000000}"/>
  <bookViews>
    <workbookView xWindow="-120" yWindow="-120" windowWidth="29040" windowHeight="15840" tabRatio="703" xr2:uid="{9CAC1E16-FA60-4465-B857-0B92E6F54B68}"/>
  </bookViews>
  <sheets>
    <sheet name="Notes" sheetId="30" r:id="rId1"/>
    <sheet name="3.11" sheetId="16" r:id="rId2"/>
    <sheet name="3.15" sheetId="17" r:id="rId3"/>
    <sheet name="3.19" sheetId="18" r:id="rId4"/>
    <sheet name="3.21" sheetId="19" r:id="rId5"/>
    <sheet name="3.23" sheetId="20" r:id="rId6"/>
    <sheet name="3.25" sheetId="21" r:id="rId7"/>
    <sheet name="3.31" sheetId="22" r:id="rId8"/>
    <sheet name="3.39" sheetId="23" r:id="rId9"/>
    <sheet name="3.45" sheetId="24" r:id="rId10"/>
    <sheet name="3.51" sheetId="25" r:id="rId11"/>
    <sheet name="3.55" sheetId="26" r:id="rId12"/>
    <sheet name="3.75" sheetId="27" r:id="rId13"/>
    <sheet name="3.77" sheetId="28" r:id="rId14"/>
    <sheet name="3.81" sheetId="29"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2" i="29" l="1"/>
  <c r="G20" i="27"/>
  <c r="G19" i="27"/>
  <c r="F14" i="19" l="1" a="1"/>
  <c r="F14" i="19" s="1"/>
  <c r="C9" i="21"/>
  <c r="F19" i="24"/>
  <c r="F20" i="24"/>
  <c r="F21" i="24"/>
  <c r="F22" i="24"/>
  <c r="G22" i="24" s="1"/>
  <c r="F18" i="24"/>
  <c r="G18" i="24" s="1"/>
  <c r="B19" i="24"/>
  <c r="B20" i="24"/>
  <c r="B21" i="24"/>
  <c r="C21" i="24" s="1"/>
  <c r="B22" i="24"/>
  <c r="B18" i="24"/>
  <c r="C18" i="24"/>
  <c r="E14" i="29" a="1"/>
  <c r="E14" i="29" s="1"/>
  <c r="E19" i="29"/>
  <c r="E18" i="29"/>
  <c r="E17" i="29"/>
  <c r="E16" i="29"/>
  <c r="E13" i="29"/>
  <c r="E12" i="29"/>
  <c r="O2" i="28"/>
  <c r="P2" i="28" s="1"/>
  <c r="O3" i="28"/>
  <c r="P3" i="28" s="1"/>
  <c r="O4" i="28"/>
  <c r="O5" i="28"/>
  <c r="O6" i="28"/>
  <c r="O7" i="28"/>
  <c r="P7" i="28" s="1"/>
  <c r="O8" i="28"/>
  <c r="O9" i="28"/>
  <c r="O10" i="28"/>
  <c r="O11" i="28"/>
  <c r="P11" i="28" s="1"/>
  <c r="O12" i="28"/>
  <c r="O13" i="28"/>
  <c r="O14" i="28"/>
  <c r="B41" i="28"/>
  <c r="D13" i="25"/>
  <c r="P6" i="28"/>
  <c r="P10" i="28"/>
  <c r="P13" i="28"/>
  <c r="D42" i="28"/>
  <c r="B38" i="28"/>
  <c r="B37" i="28"/>
  <c r="B39" i="28" a="1"/>
  <c r="B39" i="28" s="1"/>
  <c r="G12" i="27"/>
  <c r="G13" i="27" s="1"/>
  <c r="G11" i="27"/>
  <c r="G10" i="27"/>
  <c r="G9" i="27"/>
  <c r="G8" i="27"/>
  <c r="D18" i="27"/>
  <c r="D8" i="27"/>
  <c r="C9" i="27"/>
  <c r="C10" i="27"/>
  <c r="C11" i="27"/>
  <c r="D11" i="27" s="1"/>
  <c r="C12" i="27"/>
  <c r="D12" i="27" s="1"/>
  <c r="C13" i="27"/>
  <c r="C14" i="27"/>
  <c r="C15" i="27"/>
  <c r="C16" i="27"/>
  <c r="C17" i="27"/>
  <c r="D9" i="27"/>
  <c r="D15" i="27"/>
  <c r="D16" i="27"/>
  <c r="D17" i="27"/>
  <c r="D10" i="27"/>
  <c r="D13" i="27"/>
  <c r="D14" i="27"/>
  <c r="C8" i="27"/>
  <c r="I13" i="27"/>
  <c r="I12" i="27"/>
  <c r="C7" i="26"/>
  <c r="B7" i="26"/>
  <c r="D25" i="25"/>
  <c r="F25" i="25"/>
  <c r="F24" i="25"/>
  <c r="D24" i="25"/>
  <c r="D23" i="25"/>
  <c r="D14" i="25"/>
  <c r="D15" i="25"/>
  <c r="D16" i="25"/>
  <c r="D17" i="25"/>
  <c r="D18" i="25"/>
  <c r="D19" i="25"/>
  <c r="D20" i="25"/>
  <c r="D21" i="25"/>
  <c r="D22" i="25"/>
  <c r="C14" i="25"/>
  <c r="C15" i="25"/>
  <c r="C16" i="25"/>
  <c r="C17" i="25"/>
  <c r="C18" i="25"/>
  <c r="C19" i="25"/>
  <c r="C20" i="25"/>
  <c r="C21" i="25"/>
  <c r="C22" i="25"/>
  <c r="C13" i="25"/>
  <c r="H9" i="24"/>
  <c r="H8" i="24"/>
  <c r="H10" i="24"/>
  <c r="H12" i="24"/>
  <c r="G12" i="24"/>
  <c r="G10" i="24"/>
  <c r="I10" i="24" s="1"/>
  <c r="G9" i="24"/>
  <c r="G8" i="24"/>
  <c r="H7" i="24"/>
  <c r="G7" i="24"/>
  <c r="E16" i="24"/>
  <c r="A16" i="24"/>
  <c r="C22" i="24"/>
  <c r="G21" i="24"/>
  <c r="G20" i="24"/>
  <c r="C20" i="24"/>
  <c r="G19" i="24"/>
  <c r="C19" i="24"/>
  <c r="L29" i="23"/>
  <c r="L30" i="23"/>
  <c r="L31" i="23"/>
  <c r="L32" i="23"/>
  <c r="L33" i="23"/>
  <c r="L28" i="23"/>
  <c r="B37" i="23"/>
  <c r="C37" i="23" s="1"/>
  <c r="F37" i="23"/>
  <c r="G37" i="23" s="1"/>
  <c r="F29" i="23"/>
  <c r="G29" i="23" s="1"/>
  <c r="F30" i="23"/>
  <c r="G30" i="23" s="1"/>
  <c r="F31" i="23"/>
  <c r="G31" i="23" s="1"/>
  <c r="F32" i="23"/>
  <c r="G32" i="23" s="1"/>
  <c r="F33" i="23"/>
  <c r="G33" i="23" s="1"/>
  <c r="F34" i="23"/>
  <c r="G34" i="23" s="1"/>
  <c r="F35" i="23"/>
  <c r="G35" i="23" s="1"/>
  <c r="F36" i="23"/>
  <c r="G36" i="23" s="1"/>
  <c r="F28" i="23"/>
  <c r="G28" i="23" s="1"/>
  <c r="B33" i="23"/>
  <c r="C33" i="23" s="1"/>
  <c r="B34" i="23"/>
  <c r="B35" i="23"/>
  <c r="C35" i="23" s="1"/>
  <c r="B36" i="23"/>
  <c r="C36" i="23" s="1"/>
  <c r="B29" i="23"/>
  <c r="C29" i="23" s="1"/>
  <c r="B30" i="23"/>
  <c r="C30" i="23" s="1"/>
  <c r="B31" i="23"/>
  <c r="C31" i="23" s="1"/>
  <c r="B32" i="23"/>
  <c r="C32" i="23" s="1"/>
  <c r="B28" i="23"/>
  <c r="C28" i="23" s="1"/>
  <c r="K28" i="23"/>
  <c r="J28" i="23"/>
  <c r="K29" i="23"/>
  <c r="K30" i="23"/>
  <c r="K31" i="23"/>
  <c r="K32" i="23"/>
  <c r="K33" i="23"/>
  <c r="K34" i="23"/>
  <c r="C34" i="23"/>
  <c r="J33" i="23"/>
  <c r="J32" i="23"/>
  <c r="J31" i="23"/>
  <c r="J30" i="23"/>
  <c r="J34" i="23" s="1"/>
  <c r="J29" i="23"/>
  <c r="D12" i="22"/>
  <c r="B10" i="22"/>
  <c r="C9" i="20"/>
  <c r="G23" i="24" l="1"/>
  <c r="C23" i="24"/>
  <c r="G13" i="24" s="1"/>
  <c r="G14" i="24" s="1"/>
  <c r="P14" i="28"/>
  <c r="P9" i="28"/>
  <c r="P12" i="28"/>
  <c r="P8" i="28"/>
  <c r="P15" i="28" s="1"/>
  <c r="P16" i="28" s="1"/>
  <c r="B42" i="28" s="1"/>
  <c r="P5" i="28"/>
  <c r="P4" i="28"/>
  <c r="I12" i="24"/>
  <c r="G11" i="24"/>
  <c r="I9" i="24"/>
  <c r="H11" i="24"/>
  <c r="I8" i="24"/>
  <c r="L34" i="23"/>
  <c r="C38" i="23"/>
  <c r="J35" i="23" s="1"/>
  <c r="G38" i="23"/>
  <c r="K35" i="23" s="1"/>
  <c r="H13" i="19"/>
  <c r="H12" i="19"/>
  <c r="G13" i="19"/>
  <c r="G12" i="19"/>
  <c r="F13" i="19"/>
  <c r="F12" i="19"/>
  <c r="D13" i="18"/>
  <c r="D12" i="18"/>
  <c r="D11" i="18"/>
  <c r="B9" i="17"/>
  <c r="B8" i="17"/>
  <c r="B7" i="17"/>
  <c r="C7" i="16"/>
  <c r="I11" i="24" l="1"/>
  <c r="H13" i="24"/>
  <c r="H14" i="24" s="1"/>
  <c r="L35" i="23"/>
  <c r="I14" i="24" l="1"/>
  <c r="I13"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<sst xmlns="http://schemas.openxmlformats.org/spreadsheetml/2006/main" count="170" uniqueCount="110">
  <si>
    <t>Obeservations</t>
  </si>
  <si>
    <t>Mean</t>
  </si>
  <si>
    <t>Total Revenue</t>
  </si>
  <si>
    <t>a.</t>
  </si>
  <si>
    <t>b.</t>
  </si>
  <si>
    <t>c.</t>
  </si>
  <si>
    <t>Median</t>
  </si>
  <si>
    <t>Mode</t>
  </si>
  <si>
    <t>Returns</t>
  </si>
  <si>
    <t>I would report the Median because the outlier datapoints 80 and 31 are making the Mean less representative</t>
  </si>
  <si>
    <t>Month</t>
  </si>
  <si>
    <t>Rate</t>
  </si>
  <si>
    <t>January</t>
  </si>
  <si>
    <t>February</t>
  </si>
  <si>
    <t>March</t>
  </si>
  <si>
    <t>April</t>
  </si>
  <si>
    <t>May</t>
  </si>
  <si>
    <t>June</t>
  </si>
  <si>
    <t>July</t>
  </si>
  <si>
    <t>August</t>
  </si>
  <si>
    <t>September</t>
  </si>
  <si>
    <t>October</t>
  </si>
  <si>
    <t>November</t>
  </si>
  <si>
    <t>December</t>
  </si>
  <si>
    <t>Full Year</t>
  </si>
  <si>
    <t>Winter (Dec-Mar)</t>
  </si>
  <si>
    <t>The mean and median for winter are both very different from those of the full year. Both are more than half a percentage point higher.</t>
  </si>
  <si>
    <t>Shares</t>
  </si>
  <si>
    <t>Price</t>
  </si>
  <si>
    <t>Aug</t>
  </si>
  <si>
    <t>Nov</t>
  </si>
  <si>
    <t>Jun</t>
  </si>
  <si>
    <t>Weighted Mean Price</t>
  </si>
  <si>
    <t>emp_type</t>
  </si>
  <si>
    <t>emp_type_count</t>
  </si>
  <si>
    <t>nurse's aides</t>
  </si>
  <si>
    <t>practical nurses</t>
  </si>
  <si>
    <t>registered nurses</t>
  </si>
  <si>
    <t>weighted mean hourly wage</t>
  </si>
  <si>
    <t>emp_type_hourly_wage</t>
  </si>
  <si>
    <t>year</t>
  </si>
  <si>
    <t>cpi</t>
  </si>
  <si>
    <t>geometric mean annual increase</t>
  </si>
  <si>
    <t>n</t>
  </si>
  <si>
    <t>Taste Rating in California</t>
  </si>
  <si>
    <t>Taste Rating in lowa</t>
  </si>
  <si>
    <t>Range</t>
  </si>
  <si>
    <t>Variance</t>
  </si>
  <si>
    <t>California</t>
  </si>
  <si>
    <t>Iowa</t>
  </si>
  <si>
    <t>Min</t>
  </si>
  <si>
    <t>Max</t>
  </si>
  <si>
    <t>Arithmatic Mean</t>
  </si>
  <si>
    <t>Calculation of Variance in Califonia</t>
  </si>
  <si>
    <t>Rating</t>
  </si>
  <si>
    <t>Each Val - Mean</t>
  </si>
  <si>
    <t>Sq. Deviation</t>
  </si>
  <si>
    <t>Calculation of Variance in Iowa</t>
  </si>
  <si>
    <t>Observations</t>
  </si>
  <si>
    <t>Observations (n)</t>
  </si>
  <si>
    <t>Diff</t>
  </si>
  <si>
    <t>Based on our data, it appears there is more of a market for sushi pizza in California than in Iowa.  The Mean, Median and Mode are all higher in CA. While the range in ratings is wider in CA, the variance is quite a bit lower. This indicates that preferences in CA tend to cluster closer to the mean with a few outliers extending the range.
However our sample size is small so more observations are needed to confidently draw any conclusions.</t>
  </si>
  <si>
    <t>Year</t>
  </si>
  <si>
    <t>ROE</t>
  </si>
  <si>
    <t>ROE_Plywood</t>
  </si>
  <si>
    <t>ROE_Dennis</t>
  </si>
  <si>
    <t>Sample Variance</t>
  </si>
  <si>
    <t>Population Variance</t>
  </si>
  <si>
    <t>Population Std Dev</t>
  </si>
  <si>
    <t>Sum Sq. Deviation</t>
  </si>
  <si>
    <t>or</t>
  </si>
  <si>
    <t>Sample Std Dev</t>
  </si>
  <si>
    <t>Observation</t>
  </si>
  <si>
    <t>Age</t>
  </si>
  <si>
    <t>Sample_StdDev</t>
  </si>
  <si>
    <t>Sample_Var</t>
  </si>
  <si>
    <t>College</t>
  </si>
  <si>
    <t>Enrollment</t>
  </si>
  <si>
    <t>University of Akron</t>
  </si>
  <si>
    <t>Bowling Green State University</t>
  </si>
  <si>
    <t>Central State University</t>
  </si>
  <si>
    <t>University of Cincinnati</t>
  </si>
  <si>
    <t>Cleveland State University</t>
  </si>
  <si>
    <t>Kent State University</t>
  </si>
  <si>
    <t>Miami University</t>
  </si>
  <si>
    <t>Ohio State University</t>
  </si>
  <si>
    <t>Ohio University</t>
  </si>
  <si>
    <t>Shawnee State University</t>
  </si>
  <si>
    <t>University of Toledo</t>
  </si>
  <si>
    <t>Wright State University</t>
  </si>
  <si>
    <t>Youngstown State University</t>
  </si>
  <si>
    <t>population</t>
  </si>
  <si>
    <t>d.</t>
  </si>
  <si>
    <t>e.</t>
  </si>
  <si>
    <t>f.</t>
  </si>
  <si>
    <t>g.</t>
  </si>
  <si>
    <t>Sum of Sq. Deviation</t>
  </si>
  <si>
    <t>I would use the median because of the existence of significant outliers in the data.</t>
  </si>
  <si>
    <t>Expense</t>
  </si>
  <si>
    <t>mean</t>
  </si>
  <si>
    <t>median</t>
  </si>
  <si>
    <t>mode</t>
  </si>
  <si>
    <t>range</t>
  </si>
  <si>
    <t>std_dev</t>
  </si>
  <si>
    <t>Lower 95%</t>
  </si>
  <si>
    <t>Upper 95%</t>
  </si>
  <si>
    <t>Over the past 5 years, the ROE for Plywood has been on average about 5 points lower than that of Dennis. However, Plywood's ROE has been much more consistent with a Std Dev of 2.568 vs 4.110 for Dennis.</t>
  </si>
  <si>
    <t>Coefficient of Variation</t>
  </si>
  <si>
    <t>CV allows for some standarization of dispersion metric across different data sets</t>
  </si>
  <si>
    <t>Coeficient of Variation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</si>
</sst>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_(&quot;$&quot;* #,##0_);_(&quot;$&quot;* \(#,##0\);_(&quot;$&quot;* &quot;-&quot;??_);_(@_)"/>
    <numFmt numFmtId="165" formatCode="0.000"/>
    <numFmt numFmtId="166" formatCode="0.0%"/>
    <numFmt numFmtId="167" formatCode="0.000%"/>
    <numFmt numFmtId="168" formatCode="0.0"/>
    <numFmt numFmtId="169" formatCode="_(* #,##0_);_(* \(#,##0\);_(* &quot;-&quot;??_);_(@_)"/>
  </numFmts>
  <fonts count="7" x14ac:knownFonts="1">
    <font>
      <sz val="9"/>
      <color theme="1"/>
      <name val="Arial"/>
      <family val="2"/>
    </font>
    <font>
      <sz val="9"/>
      <color theme="1"/>
      <name val="Arial"/>
      <family val="2"/>
    </font>
    <font>
      <b/>
      <sz val="11"/>
      <color theme="3"/>
      <name val="Arial"/>
      <family val="2"/>
    </font>
    <font>
      <b/>
      <sz val="9"/>
      <color theme="1"/>
      <name val="Arial"/>
      <family val="2"/>
    </font>
    <font>
      <sz val="12"/>
      <name val="Calibri"/>
      <family val="2"/>
      <scheme val="minor"/>
    </font>
    <font>
      <sz val="12"/>
      <color theme="1"/>
      <name val="Calibri"/>
      <family val="2"/>
      <scheme val="minor"/>
    </font>
    <font>
      <b/>
      <sz val="12"/>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44" fontId="1" fillId="0" borderId="0" applyFont="0" applyFill="0" applyBorder="0" applyAlignment="0" applyProtection="0"/>
    <xf numFmtId="0" fontId="2" fillId="0" borderId="0" applyNumberForma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49">
    <xf numFmtId="0" fontId="0" fillId="0" borderId="0" xfId="0"/>
    <xf numFmtId="0" fontId="3" fillId="0" borderId="0" xfId="0" applyFont="1" applyAlignment="1">
      <alignment horizontal="right"/>
    </xf>
    <xf numFmtId="0" fontId="0" fillId="0" borderId="0" xfId="0" applyAlignment="1">
      <alignment horizontal="center"/>
    </xf>
    <xf numFmtId="164" fontId="0" fillId="0" borderId="0" xfId="1" applyNumberFormat="1" applyFont="1" applyAlignment="1">
      <alignment horizontal="center"/>
    </xf>
    <xf numFmtId="0" fontId="0" fillId="2" borderId="0" xfId="0" applyFill="1"/>
    <xf numFmtId="0" fontId="3" fillId="2" borderId="0" xfId="0" applyFont="1" applyFill="1" applyAlignment="1">
      <alignment horizontal="right"/>
    </xf>
    <xf numFmtId="164" fontId="0" fillId="2" borderId="0" xfId="1" applyNumberFormat="1" applyFont="1" applyFill="1" applyAlignment="1">
      <alignment horizontal="center"/>
    </xf>
    <xf numFmtId="0" fontId="4" fillId="0" borderId="0" xfId="2" applyFont="1" applyAlignment="1">
      <alignment horizontal="center"/>
    </xf>
    <xf numFmtId="0" fontId="4" fillId="0" borderId="0" xfId="0" applyFont="1"/>
    <xf numFmtId="0" fontId="5" fillId="0" borderId="0" xfId="0" applyFont="1" applyAlignment="1">
      <alignment horizontal="right"/>
    </xf>
    <xf numFmtId="0" fontId="6" fillId="0" borderId="0" xfId="2" applyFont="1" applyAlignment="1">
      <alignment horizontal="center"/>
    </xf>
    <xf numFmtId="0" fontId="3" fillId="2" borderId="0" xfId="0" applyFont="1" applyFill="1"/>
    <xf numFmtId="0" fontId="3" fillId="0" borderId="0" xfId="0" applyFont="1" applyAlignment="1">
      <alignment wrapText="1"/>
    </xf>
    <xf numFmtId="165" fontId="0" fillId="2" borderId="0" xfId="0" applyNumberFormat="1" applyFill="1"/>
    <xf numFmtId="44" fontId="0" fillId="0" borderId="0" xfId="1" applyFont="1" applyAlignment="1">
      <alignment horizontal="center"/>
    </xf>
    <xf numFmtId="44" fontId="0" fillId="0" borderId="0" xfId="1" applyFont="1"/>
    <xf numFmtId="0" fontId="0" fillId="2" borderId="0" xfId="0" applyFill="1" applyAlignment="1">
      <alignment horizontal="right"/>
    </xf>
    <xf numFmtId="44" fontId="0" fillId="2" borderId="0" xfId="1" applyFont="1" applyFill="1"/>
    <xf numFmtId="167" fontId="0" fillId="2" borderId="0" xfId="4" applyNumberFormat="1" applyFont="1" applyFill="1"/>
    <xf numFmtId="0" fontId="3" fillId="0" borderId="0" xfId="0" applyFont="1" applyAlignment="1">
      <alignment horizontal="center" wrapText="1"/>
    </xf>
    <xf numFmtId="0" fontId="3" fillId="0" borderId="0" xfId="0" applyFont="1"/>
    <xf numFmtId="0" fontId="3" fillId="0" borderId="0" xfId="0" applyFont="1" applyAlignment="1">
      <alignment horizontal="center"/>
    </xf>
    <xf numFmtId="165" fontId="0" fillId="0" borderId="0" xfId="0" applyNumberFormat="1" applyAlignment="1">
      <alignment horizontal="center"/>
    </xf>
    <xf numFmtId="2" fontId="0" fillId="0" borderId="0" xfId="0" applyNumberFormat="1" applyAlignment="1">
      <alignment horizontal="center"/>
    </xf>
    <xf numFmtId="168" fontId="0" fillId="0" borderId="0" xfId="0" applyNumberFormat="1" applyAlignment="1">
      <alignment horizontal="center"/>
    </xf>
    <xf numFmtId="0" fontId="0" fillId="0" borderId="0" xfId="0" applyAlignment="1">
      <alignment horizontal="center" vertical="top"/>
    </xf>
    <xf numFmtId="0" fontId="3" fillId="0" borderId="0" xfId="0" applyFont="1" applyAlignment="1">
      <alignment horizontal="center" vertical="top"/>
    </xf>
    <xf numFmtId="168" fontId="0" fillId="2" borderId="0" xfId="0" applyNumberFormat="1" applyFill="1" applyAlignment="1">
      <alignment horizontal="center"/>
    </xf>
    <xf numFmtId="0" fontId="3" fillId="2" borderId="0" xfId="0" applyFont="1" applyFill="1" applyAlignment="1">
      <alignment horizontal="center" vertical="top"/>
    </xf>
    <xf numFmtId="0" fontId="0" fillId="2" borderId="0" xfId="0" applyFill="1" applyAlignment="1">
      <alignment horizontal="center"/>
    </xf>
    <xf numFmtId="0" fontId="3" fillId="2" borderId="0" xfId="0" applyFont="1" applyFill="1" applyAlignment="1">
      <alignment horizontal="center"/>
    </xf>
    <xf numFmtId="0" fontId="0" fillId="0" borderId="0" xfId="0" applyFill="1"/>
    <xf numFmtId="0" fontId="3" fillId="0" borderId="0" xfId="0" applyFont="1" applyFill="1" applyAlignment="1">
      <alignment horizontal="right"/>
    </xf>
    <xf numFmtId="2" fontId="3" fillId="0" borderId="0" xfId="0" applyNumberFormat="1" applyFont="1" applyFill="1" applyAlignment="1">
      <alignment horizontal="center"/>
    </xf>
    <xf numFmtId="0" fontId="0" fillId="0" borderId="0" xfId="0" applyAlignment="1">
      <alignment horizontal="left"/>
    </xf>
    <xf numFmtId="2" fontId="0" fillId="0" borderId="0" xfId="0" applyNumberFormat="1" applyFill="1" applyAlignment="1">
      <alignment horizontal="center"/>
    </xf>
    <xf numFmtId="2" fontId="3" fillId="2" borderId="0" xfId="0" applyNumberFormat="1" applyFont="1" applyFill="1" applyAlignment="1">
      <alignment horizontal="center"/>
    </xf>
    <xf numFmtId="2" fontId="0" fillId="2" borderId="0" xfId="0" applyNumberFormat="1" applyFill="1" applyAlignment="1">
      <alignment horizontal="center"/>
    </xf>
    <xf numFmtId="169" fontId="0" fillId="0" borderId="0" xfId="3" applyNumberFormat="1" applyFont="1" applyAlignment="1">
      <alignment horizontal="center"/>
    </xf>
    <xf numFmtId="0" fontId="3" fillId="0" borderId="0" xfId="0" applyFont="1" applyAlignment="1">
      <alignment horizontal="left"/>
    </xf>
    <xf numFmtId="169" fontId="0" fillId="0" borderId="0" xfId="0" applyNumberFormat="1"/>
    <xf numFmtId="169" fontId="3" fillId="0" borderId="0" xfId="0" applyNumberFormat="1" applyFont="1"/>
    <xf numFmtId="0" fontId="0" fillId="2" borderId="0" xfId="0" applyNumberFormat="1" applyFill="1" applyAlignment="1">
      <alignment horizontal="left"/>
    </xf>
    <xf numFmtId="166" fontId="0" fillId="2" borderId="0" xfId="4" applyNumberFormat="1" applyFont="1" applyFill="1"/>
    <xf numFmtId="165" fontId="0" fillId="2" borderId="0" xfId="0" applyNumberFormat="1" applyFill="1" applyAlignment="1">
      <alignment horizontal="center"/>
    </xf>
    <xf numFmtId="165" fontId="0" fillId="0" borderId="0" xfId="0" applyNumberFormat="1"/>
    <xf numFmtId="0" fontId="0" fillId="2" borderId="0" xfId="0" applyFill="1" applyAlignment="1">
      <alignment horizontal="left" vertical="top" wrapText="1"/>
    </xf>
    <xf numFmtId="0" fontId="0" fillId="2" borderId="0" xfId="0" applyFill="1" applyAlignment="1">
      <alignment horizontal="center" vertical="top" wrapText="1"/>
    </xf>
    <xf numFmtId="0" fontId="3" fillId="0" borderId="0" xfId="0" applyFont="1" applyAlignment="1">
      <alignment horizontal="center" wrapText="1"/>
    </xf>
  </cellXfs>
  <cellStyles count="5">
    <cellStyle name="Comma" xfId="3" builtinId="3"/>
    <cellStyle name="Currency" xfId="1" builtinId="4"/>
    <cellStyle name="Heading 4" xfId="2" builtinId="19"/>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322971</xdr:colOff>
      <xdr:row>33</xdr:row>
      <xdr:rowOff>37467</xdr:rowOff>
    </xdr:to>
    <xdr:pic>
      <xdr:nvPicPr>
        <xdr:cNvPr id="3" name="Picture 2">
          <a:extLst>
            <a:ext uri="{FF2B5EF4-FFF2-40B4-BE49-F238E27FC236}">
              <a16:creationId xmlns:a16="http://schemas.microsoft.com/office/drawing/2014/main" id="{DADA152B-6316-4EFA-90F7-528B1AF19E66}"/>
            </a:ext>
          </a:extLst>
        </xdr:cNvPr>
        <xdr:cNvPicPr>
          <a:picLocks noChangeAspect="1"/>
        </xdr:cNvPicPr>
      </xdr:nvPicPr>
      <xdr:blipFill>
        <a:blip xmlns:r="http://schemas.openxmlformats.org/officeDocument/2006/relationships" r:embed="rId1"/>
        <a:stretch>
          <a:fillRect/>
        </a:stretch>
      </xdr:blipFill>
      <xdr:spPr>
        <a:xfrm>
          <a:off x="0" y="0"/>
          <a:ext cx="7028571" cy="5066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284921</xdr:colOff>
      <xdr:row>3</xdr:row>
      <xdr:rowOff>57086</xdr:rowOff>
    </xdr:to>
    <xdr:pic>
      <xdr:nvPicPr>
        <xdr:cNvPr id="2" name="Picture 1">
          <a:extLst>
            <a:ext uri="{FF2B5EF4-FFF2-40B4-BE49-F238E27FC236}">
              <a16:creationId xmlns:a16="http://schemas.microsoft.com/office/drawing/2014/main" id="{282E54BA-B881-45A2-AB56-10DCA67CA53E}"/>
            </a:ext>
          </a:extLst>
        </xdr:cNvPr>
        <xdr:cNvPicPr>
          <a:picLocks noChangeAspect="1"/>
        </xdr:cNvPicPr>
      </xdr:nvPicPr>
      <xdr:blipFill>
        <a:blip xmlns:r="http://schemas.openxmlformats.org/officeDocument/2006/relationships" r:embed="rId1"/>
        <a:stretch>
          <a:fillRect/>
        </a:stretch>
      </xdr:blipFill>
      <xdr:spPr>
        <a:xfrm>
          <a:off x="0" y="0"/>
          <a:ext cx="6628571" cy="5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351599</xdr:colOff>
      <xdr:row>5</xdr:row>
      <xdr:rowOff>18952</xdr:rowOff>
    </xdr:to>
    <xdr:pic>
      <xdr:nvPicPr>
        <xdr:cNvPr id="2" name="Picture 1">
          <a:extLst>
            <a:ext uri="{FF2B5EF4-FFF2-40B4-BE49-F238E27FC236}">
              <a16:creationId xmlns:a16="http://schemas.microsoft.com/office/drawing/2014/main" id="{1A05493A-7651-4C95-9CDC-6AF9EB7C9255}"/>
            </a:ext>
          </a:extLst>
        </xdr:cNvPr>
        <xdr:cNvPicPr>
          <a:picLocks noChangeAspect="1"/>
        </xdr:cNvPicPr>
      </xdr:nvPicPr>
      <xdr:blipFill>
        <a:blip xmlns:r="http://schemas.openxmlformats.org/officeDocument/2006/relationships" r:embed="rId1"/>
        <a:stretch>
          <a:fillRect/>
        </a:stretch>
      </xdr:blipFill>
      <xdr:spPr>
        <a:xfrm>
          <a:off x="0" y="0"/>
          <a:ext cx="6609524" cy="78095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589714</xdr:colOff>
      <xdr:row>8</xdr:row>
      <xdr:rowOff>85562</xdr:rowOff>
    </xdr:to>
    <xdr:pic>
      <xdr:nvPicPr>
        <xdr:cNvPr id="3" name="Picture 2">
          <a:extLst>
            <a:ext uri="{FF2B5EF4-FFF2-40B4-BE49-F238E27FC236}">
              <a16:creationId xmlns:a16="http://schemas.microsoft.com/office/drawing/2014/main" id="{4ADD29A4-4946-4E74-ACC9-C1191AD45B6F}"/>
            </a:ext>
          </a:extLst>
        </xdr:cNvPr>
        <xdr:cNvPicPr>
          <a:picLocks noChangeAspect="1"/>
        </xdr:cNvPicPr>
      </xdr:nvPicPr>
      <xdr:blipFill>
        <a:blip xmlns:r="http://schemas.openxmlformats.org/officeDocument/2006/relationships" r:embed="rId1"/>
        <a:stretch>
          <a:fillRect/>
        </a:stretch>
      </xdr:blipFill>
      <xdr:spPr>
        <a:xfrm>
          <a:off x="0" y="0"/>
          <a:ext cx="6685714" cy="130476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151571</xdr:colOff>
      <xdr:row>9</xdr:row>
      <xdr:rowOff>47448</xdr:rowOff>
    </xdr:to>
    <xdr:pic>
      <xdr:nvPicPr>
        <xdr:cNvPr id="2" name="Picture 1">
          <a:extLst>
            <a:ext uri="{FF2B5EF4-FFF2-40B4-BE49-F238E27FC236}">
              <a16:creationId xmlns:a16="http://schemas.microsoft.com/office/drawing/2014/main" id="{D6590E9A-750E-4B92-A38F-A034498168DA}"/>
            </a:ext>
          </a:extLst>
        </xdr:cNvPr>
        <xdr:cNvPicPr>
          <a:picLocks noChangeAspect="1"/>
        </xdr:cNvPicPr>
      </xdr:nvPicPr>
      <xdr:blipFill>
        <a:blip xmlns:r="http://schemas.openxmlformats.org/officeDocument/2006/relationships" r:embed="rId1"/>
        <a:stretch>
          <a:fillRect/>
        </a:stretch>
      </xdr:blipFill>
      <xdr:spPr>
        <a:xfrm>
          <a:off x="0" y="0"/>
          <a:ext cx="6628571" cy="141904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542095</xdr:colOff>
      <xdr:row>3</xdr:row>
      <xdr:rowOff>76133</xdr:rowOff>
    </xdr:to>
    <xdr:pic>
      <xdr:nvPicPr>
        <xdr:cNvPr id="2" name="Picture 1">
          <a:extLst>
            <a:ext uri="{FF2B5EF4-FFF2-40B4-BE49-F238E27FC236}">
              <a16:creationId xmlns:a16="http://schemas.microsoft.com/office/drawing/2014/main" id="{104166E0-E32D-4311-B06E-8FFEB39AC554}"/>
            </a:ext>
          </a:extLst>
        </xdr:cNvPr>
        <xdr:cNvPicPr>
          <a:picLocks noChangeAspect="1"/>
        </xdr:cNvPicPr>
      </xdr:nvPicPr>
      <xdr:blipFill>
        <a:blip xmlns:r="http://schemas.openxmlformats.org/officeDocument/2006/relationships" r:embed="rId1"/>
        <a:stretch>
          <a:fillRect/>
        </a:stretch>
      </xdr:blipFill>
      <xdr:spPr>
        <a:xfrm>
          <a:off x="0" y="0"/>
          <a:ext cx="6638095" cy="53333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189669</xdr:colOff>
      <xdr:row>3</xdr:row>
      <xdr:rowOff>57086</xdr:rowOff>
    </xdr:to>
    <xdr:pic>
      <xdr:nvPicPr>
        <xdr:cNvPr id="2" name="Picture 1">
          <a:extLst>
            <a:ext uri="{FF2B5EF4-FFF2-40B4-BE49-F238E27FC236}">
              <a16:creationId xmlns:a16="http://schemas.microsoft.com/office/drawing/2014/main" id="{43973C2C-9094-43D8-8139-FB46B81CE88F}"/>
            </a:ext>
          </a:extLst>
        </xdr:cNvPr>
        <xdr:cNvPicPr>
          <a:picLocks noChangeAspect="1"/>
        </xdr:cNvPicPr>
      </xdr:nvPicPr>
      <xdr:blipFill>
        <a:blip xmlns:r="http://schemas.openxmlformats.org/officeDocument/2006/relationships" r:embed="rId1"/>
        <a:stretch>
          <a:fillRect/>
        </a:stretch>
      </xdr:blipFill>
      <xdr:spPr>
        <a:xfrm>
          <a:off x="0" y="0"/>
          <a:ext cx="6647619" cy="51428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551619</xdr:colOff>
      <xdr:row>4</xdr:row>
      <xdr:rowOff>28495</xdr:rowOff>
    </xdr:to>
    <xdr:pic>
      <xdr:nvPicPr>
        <xdr:cNvPr id="2" name="Picture 1">
          <a:extLst>
            <a:ext uri="{FF2B5EF4-FFF2-40B4-BE49-F238E27FC236}">
              <a16:creationId xmlns:a16="http://schemas.microsoft.com/office/drawing/2014/main" id="{81CD4695-7987-4116-A6EF-9C7594DF5D2A}"/>
            </a:ext>
          </a:extLst>
        </xdr:cNvPr>
        <xdr:cNvPicPr>
          <a:picLocks noChangeAspect="1"/>
        </xdr:cNvPicPr>
      </xdr:nvPicPr>
      <xdr:blipFill>
        <a:blip xmlns:r="http://schemas.openxmlformats.org/officeDocument/2006/relationships" r:embed="rId1"/>
        <a:stretch>
          <a:fillRect/>
        </a:stretch>
      </xdr:blipFill>
      <xdr:spPr>
        <a:xfrm>
          <a:off x="0" y="0"/>
          <a:ext cx="6647619" cy="63809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151574</xdr:colOff>
      <xdr:row>11</xdr:row>
      <xdr:rowOff>75981</xdr:rowOff>
    </xdr:to>
    <xdr:pic>
      <xdr:nvPicPr>
        <xdr:cNvPr id="2" name="Picture 1">
          <a:extLst>
            <a:ext uri="{FF2B5EF4-FFF2-40B4-BE49-F238E27FC236}">
              <a16:creationId xmlns:a16="http://schemas.microsoft.com/office/drawing/2014/main" id="{AB2EDFE2-B0C1-4A05-B9D3-66DD72581B02}"/>
            </a:ext>
          </a:extLst>
        </xdr:cNvPr>
        <xdr:cNvPicPr>
          <a:picLocks noChangeAspect="1"/>
        </xdr:cNvPicPr>
      </xdr:nvPicPr>
      <xdr:blipFill>
        <a:blip xmlns:r="http://schemas.openxmlformats.org/officeDocument/2006/relationships" r:embed="rId1"/>
        <a:stretch>
          <a:fillRect/>
        </a:stretch>
      </xdr:blipFill>
      <xdr:spPr>
        <a:xfrm>
          <a:off x="0" y="0"/>
          <a:ext cx="6609524" cy="175238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713544</xdr:colOff>
      <xdr:row>5</xdr:row>
      <xdr:rowOff>133238</xdr:rowOff>
    </xdr:to>
    <xdr:pic>
      <xdr:nvPicPr>
        <xdr:cNvPr id="2" name="Picture 1">
          <a:extLst>
            <a:ext uri="{FF2B5EF4-FFF2-40B4-BE49-F238E27FC236}">
              <a16:creationId xmlns:a16="http://schemas.microsoft.com/office/drawing/2014/main" id="{8329178F-E563-4F93-AF7D-E9E3529CE9E5}"/>
            </a:ext>
          </a:extLst>
        </xdr:cNvPr>
        <xdr:cNvPicPr>
          <a:picLocks noChangeAspect="1"/>
        </xdr:cNvPicPr>
      </xdr:nvPicPr>
      <xdr:blipFill>
        <a:blip xmlns:r="http://schemas.openxmlformats.org/officeDocument/2006/relationships" r:embed="rId1"/>
        <a:stretch>
          <a:fillRect/>
        </a:stretch>
      </xdr:blipFill>
      <xdr:spPr>
        <a:xfrm>
          <a:off x="0" y="0"/>
          <a:ext cx="6647619" cy="89523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227768</xdr:colOff>
      <xdr:row>5</xdr:row>
      <xdr:rowOff>47524</xdr:rowOff>
    </xdr:to>
    <xdr:pic>
      <xdr:nvPicPr>
        <xdr:cNvPr id="2" name="Picture 1">
          <a:extLst>
            <a:ext uri="{FF2B5EF4-FFF2-40B4-BE49-F238E27FC236}">
              <a16:creationId xmlns:a16="http://schemas.microsoft.com/office/drawing/2014/main" id="{69E744CF-E85D-4A73-8E76-748BFE5D1AB8}"/>
            </a:ext>
          </a:extLst>
        </xdr:cNvPr>
        <xdr:cNvPicPr>
          <a:picLocks noChangeAspect="1"/>
        </xdr:cNvPicPr>
      </xdr:nvPicPr>
      <xdr:blipFill>
        <a:blip xmlns:r="http://schemas.openxmlformats.org/officeDocument/2006/relationships" r:embed="rId1"/>
        <a:stretch>
          <a:fillRect/>
        </a:stretch>
      </xdr:blipFill>
      <xdr:spPr>
        <a:xfrm>
          <a:off x="0" y="0"/>
          <a:ext cx="6657143" cy="809524"/>
        </a:xfrm>
        <a:prstGeom prst="rect">
          <a:avLst/>
        </a:prstGeom>
      </xdr:spPr>
    </xdr:pic>
    <xdr:clientData/>
  </xdr:twoCellAnchor>
  <xdr:twoCellAnchor editAs="oneCell">
    <xdr:from>
      <xdr:col>0</xdr:col>
      <xdr:colOff>0</xdr:colOff>
      <xdr:row>5</xdr:row>
      <xdr:rowOff>47714</xdr:rowOff>
    </xdr:from>
    <xdr:to>
      <xdr:col>6</xdr:col>
      <xdr:colOff>418701</xdr:colOff>
      <xdr:row>10</xdr:row>
      <xdr:rowOff>0</xdr:rowOff>
    </xdr:to>
    <xdr:pic>
      <xdr:nvPicPr>
        <xdr:cNvPr id="3" name="Picture 2">
          <a:extLst>
            <a:ext uri="{FF2B5EF4-FFF2-40B4-BE49-F238E27FC236}">
              <a16:creationId xmlns:a16="http://schemas.microsoft.com/office/drawing/2014/main" id="{381F8D61-D141-4B97-A596-2ED8EA5137BA}"/>
            </a:ext>
          </a:extLst>
        </xdr:cNvPr>
        <xdr:cNvPicPr>
          <a:picLocks noChangeAspect="1"/>
        </xdr:cNvPicPr>
      </xdr:nvPicPr>
      <xdr:blipFill>
        <a:blip xmlns:r="http://schemas.openxmlformats.org/officeDocument/2006/relationships" r:embed="rId2"/>
        <a:stretch>
          <a:fillRect/>
        </a:stretch>
      </xdr:blipFill>
      <xdr:spPr>
        <a:xfrm>
          <a:off x="0" y="809714"/>
          <a:ext cx="3190476" cy="714286"/>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361123</xdr:colOff>
      <xdr:row>4</xdr:row>
      <xdr:rowOff>114210</xdr:rowOff>
    </xdr:to>
    <xdr:pic>
      <xdr:nvPicPr>
        <xdr:cNvPr id="2" name="Picture 1">
          <a:extLst>
            <a:ext uri="{FF2B5EF4-FFF2-40B4-BE49-F238E27FC236}">
              <a16:creationId xmlns:a16="http://schemas.microsoft.com/office/drawing/2014/main" id="{90AB3BC5-B110-4859-AD91-8B1D4A79CE55}"/>
            </a:ext>
          </a:extLst>
        </xdr:cNvPr>
        <xdr:cNvPicPr>
          <a:picLocks noChangeAspect="1"/>
        </xdr:cNvPicPr>
      </xdr:nvPicPr>
      <xdr:blipFill>
        <a:blip xmlns:r="http://schemas.openxmlformats.org/officeDocument/2006/relationships" r:embed="rId1"/>
        <a:stretch>
          <a:fillRect/>
        </a:stretch>
      </xdr:blipFill>
      <xdr:spPr>
        <a:xfrm>
          <a:off x="0" y="0"/>
          <a:ext cx="6619048" cy="72381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294465</xdr:colOff>
      <xdr:row>5</xdr:row>
      <xdr:rowOff>18952</xdr:rowOff>
    </xdr:to>
    <xdr:pic>
      <xdr:nvPicPr>
        <xdr:cNvPr id="2" name="Picture 1">
          <a:extLst>
            <a:ext uri="{FF2B5EF4-FFF2-40B4-BE49-F238E27FC236}">
              <a16:creationId xmlns:a16="http://schemas.microsoft.com/office/drawing/2014/main" id="{38478E56-F8C5-44AB-93BE-D8AD15FEAD16}"/>
            </a:ext>
          </a:extLst>
        </xdr:cNvPr>
        <xdr:cNvPicPr>
          <a:picLocks noChangeAspect="1"/>
        </xdr:cNvPicPr>
      </xdr:nvPicPr>
      <xdr:blipFill>
        <a:blip xmlns:r="http://schemas.openxmlformats.org/officeDocument/2006/relationships" r:embed="rId1"/>
        <a:stretch>
          <a:fillRect/>
        </a:stretch>
      </xdr:blipFill>
      <xdr:spPr>
        <a:xfrm>
          <a:off x="0" y="0"/>
          <a:ext cx="6476190" cy="780952"/>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646892</xdr:colOff>
      <xdr:row>34</xdr:row>
      <xdr:rowOff>46952</xdr:rowOff>
    </xdr:to>
    <xdr:pic>
      <xdr:nvPicPr>
        <xdr:cNvPr id="2" name="Picture 1">
          <a:extLst>
            <a:ext uri="{FF2B5EF4-FFF2-40B4-BE49-F238E27FC236}">
              <a16:creationId xmlns:a16="http://schemas.microsoft.com/office/drawing/2014/main" id="{65C25FC7-FFC6-4B21-A738-ED205C1991E0}"/>
            </a:ext>
          </a:extLst>
        </xdr:cNvPr>
        <xdr:cNvPicPr>
          <a:picLocks noChangeAspect="1"/>
        </xdr:cNvPicPr>
      </xdr:nvPicPr>
      <xdr:blipFill>
        <a:blip xmlns:r="http://schemas.openxmlformats.org/officeDocument/2006/relationships" r:embed="rId1"/>
        <a:stretch>
          <a:fillRect/>
        </a:stretch>
      </xdr:blipFill>
      <xdr:spPr>
        <a:xfrm>
          <a:off x="0" y="0"/>
          <a:ext cx="6466667" cy="5380952"/>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113498</xdr:colOff>
      <xdr:row>10</xdr:row>
      <xdr:rowOff>18857</xdr:rowOff>
    </xdr:to>
    <xdr:pic>
      <xdr:nvPicPr>
        <xdr:cNvPr id="2" name="Picture 1">
          <a:extLst>
            <a:ext uri="{FF2B5EF4-FFF2-40B4-BE49-F238E27FC236}">
              <a16:creationId xmlns:a16="http://schemas.microsoft.com/office/drawing/2014/main" id="{6E5C9889-0051-4364-85B6-F840A661DD76}"/>
            </a:ext>
          </a:extLst>
        </xdr:cNvPr>
        <xdr:cNvPicPr>
          <a:picLocks noChangeAspect="1"/>
        </xdr:cNvPicPr>
      </xdr:nvPicPr>
      <xdr:blipFill>
        <a:blip xmlns:r="http://schemas.openxmlformats.org/officeDocument/2006/relationships" r:embed="rId1"/>
        <a:stretch>
          <a:fillRect/>
        </a:stretch>
      </xdr:blipFill>
      <xdr:spPr>
        <a:xfrm>
          <a:off x="0" y="0"/>
          <a:ext cx="6419048" cy="1542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445D2-4877-4E80-B082-3B85099D6358}">
  <dimension ref="A1"/>
  <sheetViews>
    <sheetView tabSelected="1" workbookViewId="0">
      <selection activeCell="Q27" sqref="Q27"/>
    </sheetView>
  </sheetViews>
  <sheetFormatPr defaultRowHeight="12"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2E5BA-F3A4-4482-BC37-07CBFF5750AA}">
  <dimension ref="A5:C7"/>
  <sheetViews>
    <sheetView workbookViewId="0">
      <selection activeCell="A7" sqref="A7"/>
    </sheetView>
  </sheetViews>
  <sheetFormatPr defaultRowHeight="12" x14ac:dyDescent="0.2"/>
  <cols>
    <col min="2" max="2" width="10" bestFit="1" customWidth="1"/>
    <col min="3" max="3" width="12" bestFit="1" customWidth="1"/>
  </cols>
  <sheetData>
    <row r="5" spans="1:3" x14ac:dyDescent="0.2">
      <c r="B5" s="1" t="s">
        <v>0</v>
      </c>
      <c r="C5" s="2">
        <v>30</v>
      </c>
    </row>
    <row r="6" spans="1:3" x14ac:dyDescent="0.2">
      <c r="B6" s="1" t="s">
        <v>1</v>
      </c>
      <c r="C6" s="3">
        <v>5430</v>
      </c>
    </row>
    <row r="7" spans="1:3" x14ac:dyDescent="0.2">
      <c r="A7" s="4"/>
      <c r="B7" s="5" t="s">
        <v>2</v>
      </c>
      <c r="C7" s="6">
        <f>C5*C6</f>
        <v>162900</v>
      </c>
    </row>
  </sheetData>
  <pageMargins left="0.7" right="0.7" top="0.75" bottom="0.75" header="0.3" footer="0.3"/>
  <pageSetup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A77D0-0325-4BAC-A61C-79E1A2AEE456}">
  <dimension ref="A7:E18"/>
  <sheetViews>
    <sheetView workbookViewId="0">
      <selection activeCell="B7" sqref="B7"/>
    </sheetView>
  </sheetViews>
  <sheetFormatPr defaultRowHeight="12" x14ac:dyDescent="0.2"/>
  <cols>
    <col min="1" max="1" width="2.42578125" bestFit="1" customWidth="1"/>
  </cols>
  <sheetData>
    <row r="7" spans="1:5" x14ac:dyDescent="0.2">
      <c r="A7" s="4" t="s">
        <v>3</v>
      </c>
      <c r="B7" s="4">
        <f>AVERAGE(E7:E18)</f>
        <v>3.5833333333333335</v>
      </c>
      <c r="C7" t="s">
        <v>1</v>
      </c>
      <c r="E7">
        <v>5</v>
      </c>
    </row>
    <row r="8" spans="1:5" x14ac:dyDescent="0.2">
      <c r="A8" s="4" t="s">
        <v>4</v>
      </c>
      <c r="B8" s="4">
        <f>MEDIAN(E7:E18)</f>
        <v>5</v>
      </c>
      <c r="C8" t="s">
        <v>6</v>
      </c>
      <c r="E8">
        <v>1</v>
      </c>
    </row>
    <row r="9" spans="1:5" x14ac:dyDescent="0.2">
      <c r="A9" s="4" t="s">
        <v>5</v>
      </c>
      <c r="B9" s="4">
        <f>_xlfn.MODE.SNGL(E7:E18)</f>
        <v>5</v>
      </c>
      <c r="C9" t="s">
        <v>7</v>
      </c>
      <c r="E9">
        <v>-10</v>
      </c>
    </row>
    <row r="10" spans="1:5" x14ac:dyDescent="0.2">
      <c r="E10">
        <v>-6</v>
      </c>
    </row>
    <row r="11" spans="1:5" x14ac:dyDescent="0.2">
      <c r="E11">
        <v>5</v>
      </c>
    </row>
    <row r="12" spans="1:5" x14ac:dyDescent="0.2">
      <c r="E12">
        <v>12</v>
      </c>
    </row>
    <row r="13" spans="1:5" x14ac:dyDescent="0.2">
      <c r="E13">
        <v>7</v>
      </c>
    </row>
    <row r="14" spans="1:5" x14ac:dyDescent="0.2">
      <c r="E14">
        <v>8</v>
      </c>
    </row>
    <row r="15" spans="1:5" x14ac:dyDescent="0.2">
      <c r="E15">
        <v>6</v>
      </c>
    </row>
    <row r="16" spans="1:5" x14ac:dyDescent="0.2">
      <c r="E16">
        <v>5</v>
      </c>
    </row>
    <row r="17" spans="5:5" x14ac:dyDescent="0.2">
      <c r="E17">
        <v>-1</v>
      </c>
    </row>
    <row r="18" spans="5:5" x14ac:dyDescent="0.2">
      <c r="E18">
        <v>11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2224E-ED17-49A2-8501-73B8DB802853}">
  <dimension ref="A10:E21"/>
  <sheetViews>
    <sheetView workbookViewId="0">
      <selection activeCell="G17" sqref="G17"/>
    </sheetView>
  </sheetViews>
  <sheetFormatPr defaultRowHeight="12" x14ac:dyDescent="0.2"/>
  <sheetData>
    <row r="10" spans="1:5" ht="15.75" x14ac:dyDescent="0.25">
      <c r="A10" s="7" t="s">
        <v>8</v>
      </c>
    </row>
    <row r="11" spans="1:5" ht="15.75" x14ac:dyDescent="0.25">
      <c r="A11" s="8">
        <v>80</v>
      </c>
      <c r="C11" s="4" t="s">
        <v>1</v>
      </c>
      <c r="D11" s="4">
        <f>AVERAGE(A11:A21)</f>
        <v>58.81818181818182</v>
      </c>
      <c r="E11" s="4"/>
    </row>
    <row r="12" spans="1:5" ht="15.75" x14ac:dyDescent="0.25">
      <c r="A12" s="8">
        <v>75</v>
      </c>
      <c r="C12" s="4" t="s">
        <v>6</v>
      </c>
      <c r="D12" s="4">
        <f>MEDIAN(A11:A21)</f>
        <v>58</v>
      </c>
      <c r="E12" s="4"/>
    </row>
    <row r="13" spans="1:5" ht="15.75" x14ac:dyDescent="0.25">
      <c r="A13" s="8">
        <v>71</v>
      </c>
      <c r="C13" s="4" t="s">
        <v>7</v>
      </c>
      <c r="D13" s="4">
        <f>_xlfn.MODE.SNGL(A11:A21)</f>
        <v>58</v>
      </c>
      <c r="E13" s="4"/>
    </row>
    <row r="14" spans="1:5" ht="15.75" x14ac:dyDescent="0.25">
      <c r="A14" s="8">
        <v>65</v>
      </c>
      <c r="C14" s="46" t="s">
        <v>9</v>
      </c>
      <c r="D14" s="46"/>
      <c r="E14" s="46"/>
    </row>
    <row r="15" spans="1:5" ht="15.75" x14ac:dyDescent="0.25">
      <c r="A15" s="8">
        <v>60</v>
      </c>
      <c r="C15" s="46"/>
      <c r="D15" s="46"/>
      <c r="E15" s="46"/>
    </row>
    <row r="16" spans="1:5" ht="15.75" x14ac:dyDescent="0.25">
      <c r="A16" s="8">
        <v>58</v>
      </c>
      <c r="C16" s="46"/>
      <c r="D16" s="46"/>
      <c r="E16" s="46"/>
    </row>
    <row r="17" spans="1:5" ht="15.75" x14ac:dyDescent="0.25">
      <c r="A17" s="8">
        <v>58</v>
      </c>
      <c r="C17" s="46"/>
      <c r="D17" s="46"/>
      <c r="E17" s="46"/>
    </row>
    <row r="18" spans="1:5" ht="15.75" x14ac:dyDescent="0.25">
      <c r="A18" s="8">
        <v>58</v>
      </c>
      <c r="C18" s="46"/>
      <c r="D18" s="46"/>
      <c r="E18" s="46"/>
    </row>
    <row r="19" spans="1:5" ht="15.75" x14ac:dyDescent="0.25">
      <c r="A19" s="8">
        <v>46</v>
      </c>
    </row>
    <row r="20" spans="1:5" ht="15.75" x14ac:dyDescent="0.25">
      <c r="A20" s="8">
        <v>45</v>
      </c>
    </row>
    <row r="21" spans="1:5" ht="15.75" x14ac:dyDescent="0.25">
      <c r="A21" s="8">
        <v>31</v>
      </c>
    </row>
  </sheetData>
  <sortState xmlns:xlrd2="http://schemas.microsoft.com/office/spreadsheetml/2017/richdata2" ref="A11:A21">
    <sortCondition descending="1" ref="A11"/>
  </sortState>
  <mergeCells count="1">
    <mergeCell ref="C14:E1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D9BFA-D154-44A6-B852-45D4621B2C4E}">
  <dimension ref="A11:H23"/>
  <sheetViews>
    <sheetView workbookViewId="0">
      <selection activeCell="E25" sqref="E25"/>
    </sheetView>
  </sheetViews>
  <sheetFormatPr defaultRowHeight="12" x14ac:dyDescent="0.2"/>
  <cols>
    <col min="1" max="1" width="10.85546875" bestFit="1" customWidth="1"/>
    <col min="6" max="6" width="7.85546875" bestFit="1" customWidth="1"/>
    <col min="7" max="7" width="9" bestFit="1" customWidth="1"/>
    <col min="8" max="8" width="5.42578125" bestFit="1" customWidth="1"/>
  </cols>
  <sheetData>
    <row r="11" spans="1:8" ht="24.75" x14ac:dyDescent="0.25">
      <c r="A11" s="10" t="s">
        <v>10</v>
      </c>
      <c r="B11" s="10" t="s">
        <v>11</v>
      </c>
      <c r="F11" s="12" t="s">
        <v>24</v>
      </c>
      <c r="G11" s="12" t="s">
        <v>25</v>
      </c>
    </row>
    <row r="12" spans="1:8" ht="15.75" x14ac:dyDescent="0.25">
      <c r="A12" s="9" t="s">
        <v>23</v>
      </c>
      <c r="B12" s="9">
        <v>7.3</v>
      </c>
      <c r="D12" s="11" t="s">
        <v>3</v>
      </c>
      <c r="E12" s="4" t="s">
        <v>1</v>
      </c>
      <c r="F12" s="13">
        <f>AVERAGE(B12:B23)</f>
        <v>7.1583333333333341</v>
      </c>
      <c r="G12" s="13">
        <f>AVERAGE(B12:B15)</f>
        <v>7.6749999999999998</v>
      </c>
      <c r="H12" s="13">
        <f>G12-F12</f>
        <v>0.51666666666666572</v>
      </c>
    </row>
    <row r="13" spans="1:8" ht="15.75" x14ac:dyDescent="0.25">
      <c r="A13" s="9" t="s">
        <v>12</v>
      </c>
      <c r="B13" s="9">
        <v>7.8</v>
      </c>
      <c r="D13" s="11" t="s">
        <v>4</v>
      </c>
      <c r="E13" s="4" t="s">
        <v>6</v>
      </c>
      <c r="F13" s="13">
        <f>MEDIAN(B12:B23)</f>
        <v>7.2</v>
      </c>
      <c r="G13" s="13">
        <f>MEDIAN(B12:B15)</f>
        <v>7.75</v>
      </c>
      <c r="H13" s="13">
        <f>G13-F13</f>
        <v>0.54999999999999982</v>
      </c>
    </row>
    <row r="14" spans="1:8" ht="15.75" x14ac:dyDescent="0.25">
      <c r="A14" s="9" t="s">
        <v>13</v>
      </c>
      <c r="B14" s="9">
        <v>7.9</v>
      </c>
      <c r="D14" s="4"/>
      <c r="E14" s="4" t="s">
        <v>7</v>
      </c>
      <c r="F14" s="13" cm="1">
        <f t="array" ref="F14:F16">_xlfn.MODE.MULT(B12:B23)</f>
        <v>7.3</v>
      </c>
      <c r="G14" s="13"/>
      <c r="H14" s="13"/>
    </row>
    <row r="15" spans="1:8" ht="15.75" customHeight="1" x14ac:dyDescent="0.25">
      <c r="A15" s="9" t="s">
        <v>14</v>
      </c>
      <c r="B15" s="9">
        <v>7.7</v>
      </c>
      <c r="D15" s="4"/>
      <c r="E15" s="4"/>
      <c r="F15" s="4">
        <v>7.2</v>
      </c>
      <c r="G15" s="4"/>
      <c r="H15" s="4"/>
    </row>
    <row r="16" spans="1:8" ht="15.75" x14ac:dyDescent="0.25">
      <c r="A16" s="9" t="s">
        <v>15</v>
      </c>
      <c r="B16" s="9">
        <v>7.3</v>
      </c>
      <c r="D16" s="4"/>
      <c r="E16" s="4"/>
      <c r="F16" s="4">
        <v>6.6</v>
      </c>
      <c r="G16" s="4"/>
      <c r="H16" s="4"/>
    </row>
    <row r="17" spans="1:8" ht="15.75" x14ac:dyDescent="0.25">
      <c r="A17" s="9" t="s">
        <v>16</v>
      </c>
      <c r="B17" s="9">
        <v>7.1</v>
      </c>
      <c r="D17" s="11" t="s">
        <v>5</v>
      </c>
      <c r="E17" s="47" t="s">
        <v>26</v>
      </c>
      <c r="F17" s="47"/>
      <c r="G17" s="47"/>
      <c r="H17" s="47"/>
    </row>
    <row r="18" spans="1:8" ht="15.75" x14ac:dyDescent="0.25">
      <c r="A18" s="9" t="s">
        <v>17</v>
      </c>
      <c r="B18" s="9">
        <v>7.2</v>
      </c>
      <c r="D18" s="4"/>
      <c r="E18" s="47"/>
      <c r="F18" s="47"/>
      <c r="G18" s="47"/>
      <c r="H18" s="47"/>
    </row>
    <row r="19" spans="1:8" ht="15.75" x14ac:dyDescent="0.25">
      <c r="A19" s="9" t="s">
        <v>18</v>
      </c>
      <c r="B19" s="9">
        <v>6.6</v>
      </c>
      <c r="D19" s="4"/>
      <c r="E19" s="47"/>
      <c r="F19" s="47"/>
      <c r="G19" s="47"/>
      <c r="H19" s="47"/>
    </row>
    <row r="20" spans="1:8" ht="15.75" x14ac:dyDescent="0.25">
      <c r="A20" s="9" t="s">
        <v>19</v>
      </c>
      <c r="B20" s="9">
        <v>6.4</v>
      </c>
    </row>
    <row r="21" spans="1:8" ht="15.75" x14ac:dyDescent="0.25">
      <c r="A21" s="9" t="s">
        <v>20</v>
      </c>
      <c r="B21" s="9">
        <v>6.6</v>
      </c>
    </row>
    <row r="22" spans="1:8" ht="15.75" x14ac:dyDescent="0.25">
      <c r="A22" s="9" t="s">
        <v>21</v>
      </c>
      <c r="B22" s="9">
        <v>6.8</v>
      </c>
    </row>
    <row r="23" spans="1:8" ht="15.75" x14ac:dyDescent="0.25">
      <c r="A23" s="9" t="s">
        <v>22</v>
      </c>
      <c r="B23" s="9">
        <v>7.2</v>
      </c>
    </row>
  </sheetData>
  <mergeCells count="1">
    <mergeCell ref="E17:H1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D89B0-FEE1-4ED1-981F-CB7ECE49827C}">
  <dimension ref="A5:C9"/>
  <sheetViews>
    <sheetView workbookViewId="0">
      <selection activeCell="E9" sqref="E9"/>
    </sheetView>
  </sheetViews>
  <sheetFormatPr defaultRowHeight="12" x14ac:dyDescent="0.2"/>
  <sheetData>
    <row r="5" spans="1:3" x14ac:dyDescent="0.2">
      <c r="A5" s="2" t="s">
        <v>10</v>
      </c>
      <c r="B5" s="2" t="s">
        <v>27</v>
      </c>
      <c r="C5" s="2" t="s">
        <v>28</v>
      </c>
    </row>
    <row r="6" spans="1:3" x14ac:dyDescent="0.2">
      <c r="A6" s="2" t="s">
        <v>31</v>
      </c>
      <c r="B6" s="2">
        <v>300</v>
      </c>
      <c r="C6" s="14">
        <v>53</v>
      </c>
    </row>
    <row r="7" spans="1:3" x14ac:dyDescent="0.2">
      <c r="A7" s="2" t="s">
        <v>29</v>
      </c>
      <c r="B7" s="2">
        <v>400</v>
      </c>
      <c r="C7" s="14">
        <v>42</v>
      </c>
    </row>
    <row r="8" spans="1:3" x14ac:dyDescent="0.2">
      <c r="A8" s="2" t="s">
        <v>30</v>
      </c>
      <c r="B8" s="2">
        <v>400</v>
      </c>
      <c r="C8" s="14">
        <v>45</v>
      </c>
    </row>
    <row r="9" spans="1:3" x14ac:dyDescent="0.2">
      <c r="A9" s="4"/>
      <c r="B9" s="16" t="s">
        <v>32</v>
      </c>
      <c r="C9" s="17">
        <f>SUMPRODUCT(C6:C8,B6:B8)/SUM(B6:B8)</f>
        <v>46.090909090909093</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79B72-629A-4D40-B9EA-EDA363C979A7}">
  <dimension ref="A5:C9"/>
  <sheetViews>
    <sheetView workbookViewId="0">
      <selection activeCell="G22" sqref="G22"/>
    </sheetView>
  </sheetViews>
  <sheetFormatPr defaultRowHeight="12" x14ac:dyDescent="0.2"/>
  <cols>
    <col min="1" max="1" width="15.140625" bestFit="1" customWidth="1"/>
    <col min="2" max="2" width="14.140625" bestFit="1" customWidth="1"/>
    <col min="3" max="3" width="12.7109375" bestFit="1" customWidth="1"/>
  </cols>
  <sheetData>
    <row r="5" spans="1:3" x14ac:dyDescent="0.2">
      <c r="A5" t="s">
        <v>33</v>
      </c>
      <c r="B5" t="s">
        <v>34</v>
      </c>
      <c r="C5" t="s">
        <v>39</v>
      </c>
    </row>
    <row r="6" spans="1:3" x14ac:dyDescent="0.2">
      <c r="A6" t="s">
        <v>35</v>
      </c>
      <c r="B6">
        <v>50</v>
      </c>
      <c r="C6" s="15">
        <v>12</v>
      </c>
    </row>
    <row r="7" spans="1:3" x14ac:dyDescent="0.2">
      <c r="A7" t="s">
        <v>36</v>
      </c>
      <c r="B7">
        <v>50</v>
      </c>
      <c r="C7" s="15">
        <v>20</v>
      </c>
    </row>
    <row r="8" spans="1:3" x14ac:dyDescent="0.2">
      <c r="A8" t="s">
        <v>37</v>
      </c>
      <c r="B8">
        <v>100</v>
      </c>
      <c r="C8" s="15">
        <v>29</v>
      </c>
    </row>
    <row r="9" spans="1:3" x14ac:dyDescent="0.2">
      <c r="A9" s="4"/>
      <c r="B9" s="16" t="s">
        <v>38</v>
      </c>
      <c r="C9" s="17">
        <f>SUMPRODUCT(B6:B8,C6:C8)/SUM(B6:B8)</f>
        <v>22.5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861AF-2C2F-4703-8EE0-6F4C27F7F929}">
  <dimension ref="A6:D12"/>
  <sheetViews>
    <sheetView workbookViewId="0">
      <selection activeCell="E11" sqref="E11"/>
    </sheetView>
  </sheetViews>
  <sheetFormatPr defaultRowHeight="12" x14ac:dyDescent="0.2"/>
  <sheetData>
    <row r="6" spans="1:4" x14ac:dyDescent="0.2">
      <c r="A6" s="2" t="s">
        <v>40</v>
      </c>
      <c r="B6" s="2" t="s">
        <v>41</v>
      </c>
    </row>
    <row r="7" spans="1:4" x14ac:dyDescent="0.2">
      <c r="A7" s="2">
        <v>2010</v>
      </c>
      <c r="B7" s="2">
        <v>213.96700000000001</v>
      </c>
    </row>
    <row r="8" spans="1:4" x14ac:dyDescent="0.2">
      <c r="A8" s="2">
        <v>2017</v>
      </c>
      <c r="B8" s="2">
        <v>239.05099999999999</v>
      </c>
    </row>
    <row r="9" spans="1:4" x14ac:dyDescent="0.2">
      <c r="A9" s="2"/>
      <c r="B9" s="2"/>
    </row>
    <row r="10" spans="1:4" x14ac:dyDescent="0.2">
      <c r="A10" s="2" t="s">
        <v>43</v>
      </c>
      <c r="B10" s="2">
        <f>A8-A7</f>
        <v>7</v>
      </c>
    </row>
    <row r="12" spans="1:4" x14ac:dyDescent="0.2">
      <c r="A12" s="4" t="s">
        <v>42</v>
      </c>
      <c r="B12" s="4"/>
      <c r="C12" s="4"/>
      <c r="D12" s="18">
        <f>((B8/B7)^(1/B10))-1</f>
        <v>1.5962506905795593E-2</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48C27-8754-4295-A8E8-8F3A58385F92}">
  <dimension ref="A13:L39"/>
  <sheetViews>
    <sheetView workbookViewId="0">
      <selection activeCell="E13" sqref="E13:L23"/>
    </sheetView>
  </sheetViews>
  <sheetFormatPr defaultRowHeight="12" x14ac:dyDescent="0.2"/>
  <cols>
    <col min="1" max="3" width="11.5703125" customWidth="1"/>
    <col min="4" max="4" width="2.85546875" customWidth="1"/>
    <col min="7" max="7" width="14.42578125" bestFit="1" customWidth="1"/>
    <col min="8" max="8" width="2.85546875" customWidth="1"/>
    <col min="9" max="9" width="14.5703125" bestFit="1" customWidth="1"/>
  </cols>
  <sheetData>
    <row r="13" spans="1:12" ht="24" customHeight="1" x14ac:dyDescent="0.2">
      <c r="A13" s="19" t="s">
        <v>44</v>
      </c>
      <c r="B13" s="19" t="s">
        <v>45</v>
      </c>
      <c r="E13" s="47" t="s">
        <v>61</v>
      </c>
      <c r="F13" s="47"/>
      <c r="G13" s="47"/>
      <c r="H13" s="47"/>
      <c r="I13" s="47"/>
      <c r="J13" s="47"/>
      <c r="K13" s="47"/>
      <c r="L13" s="47"/>
    </row>
    <row r="14" spans="1:12" x14ac:dyDescent="0.2">
      <c r="A14" s="2">
        <v>34</v>
      </c>
      <c r="B14" s="2">
        <v>28</v>
      </c>
      <c r="E14" s="47"/>
      <c r="F14" s="47"/>
      <c r="G14" s="47"/>
      <c r="H14" s="47"/>
      <c r="I14" s="47"/>
      <c r="J14" s="47"/>
      <c r="K14" s="47"/>
      <c r="L14" s="47"/>
    </row>
    <row r="15" spans="1:12" x14ac:dyDescent="0.2">
      <c r="A15" s="2">
        <v>39</v>
      </c>
      <c r="B15" s="2">
        <v>25</v>
      </c>
      <c r="E15" s="47"/>
      <c r="F15" s="47"/>
      <c r="G15" s="47"/>
      <c r="H15" s="47"/>
      <c r="I15" s="47"/>
      <c r="J15" s="47"/>
      <c r="K15" s="47"/>
      <c r="L15" s="47"/>
    </row>
    <row r="16" spans="1:12" x14ac:dyDescent="0.2">
      <c r="A16" s="2">
        <v>40</v>
      </c>
      <c r="B16" s="2">
        <v>35</v>
      </c>
      <c r="E16" s="47"/>
      <c r="F16" s="47"/>
      <c r="G16" s="47"/>
      <c r="H16" s="47"/>
      <c r="I16" s="47"/>
      <c r="J16" s="47"/>
      <c r="K16" s="47"/>
      <c r="L16" s="47"/>
    </row>
    <row r="17" spans="1:12" x14ac:dyDescent="0.2">
      <c r="A17" s="2">
        <v>46</v>
      </c>
      <c r="B17" s="2">
        <v>16</v>
      </c>
      <c r="E17" s="47"/>
      <c r="F17" s="47"/>
      <c r="G17" s="47"/>
      <c r="H17" s="47"/>
      <c r="I17" s="47"/>
      <c r="J17" s="47"/>
      <c r="K17" s="47"/>
      <c r="L17" s="47"/>
    </row>
    <row r="18" spans="1:12" x14ac:dyDescent="0.2">
      <c r="A18" s="2">
        <v>33</v>
      </c>
      <c r="B18" s="2">
        <v>25</v>
      </c>
      <c r="E18" s="47"/>
      <c r="F18" s="47"/>
      <c r="G18" s="47"/>
      <c r="H18" s="47"/>
      <c r="I18" s="47"/>
      <c r="J18" s="47"/>
      <c r="K18" s="47"/>
      <c r="L18" s="47"/>
    </row>
    <row r="19" spans="1:12" x14ac:dyDescent="0.2">
      <c r="A19" s="2">
        <v>31</v>
      </c>
      <c r="B19" s="2">
        <v>29</v>
      </c>
      <c r="E19" s="47"/>
      <c r="F19" s="47"/>
      <c r="G19" s="47"/>
      <c r="H19" s="47"/>
      <c r="I19" s="47"/>
      <c r="J19" s="47"/>
      <c r="K19" s="47"/>
      <c r="L19" s="47"/>
    </row>
    <row r="20" spans="1:12" x14ac:dyDescent="0.2">
      <c r="A20" s="2">
        <v>34</v>
      </c>
      <c r="B20" s="2">
        <v>24</v>
      </c>
      <c r="E20" s="47"/>
      <c r="F20" s="47"/>
      <c r="G20" s="47"/>
      <c r="H20" s="47"/>
      <c r="I20" s="47"/>
      <c r="J20" s="47"/>
      <c r="K20" s="47"/>
      <c r="L20" s="47"/>
    </row>
    <row r="21" spans="1:12" x14ac:dyDescent="0.2">
      <c r="A21" s="2">
        <v>14</v>
      </c>
      <c r="B21" s="2">
        <v>26</v>
      </c>
      <c r="E21" s="47"/>
      <c r="F21" s="47"/>
      <c r="G21" s="47"/>
      <c r="H21" s="47"/>
      <c r="I21" s="47"/>
      <c r="J21" s="47"/>
      <c r="K21" s="47"/>
      <c r="L21" s="47"/>
    </row>
    <row r="22" spans="1:12" x14ac:dyDescent="0.2">
      <c r="A22" s="2">
        <v>15</v>
      </c>
      <c r="B22" s="2">
        <v>17</v>
      </c>
      <c r="E22" s="47"/>
      <c r="F22" s="47"/>
      <c r="G22" s="47"/>
      <c r="H22" s="47"/>
      <c r="I22" s="47"/>
      <c r="J22" s="47"/>
      <c r="K22" s="47"/>
      <c r="L22" s="47"/>
    </row>
    <row r="23" spans="1:12" x14ac:dyDescent="0.2">
      <c r="A23" s="2">
        <v>45</v>
      </c>
      <c r="B23" s="2">
        <v>20</v>
      </c>
      <c r="E23" s="47"/>
      <c r="F23" s="47"/>
      <c r="G23" s="47"/>
      <c r="H23" s="47"/>
      <c r="I23" s="47"/>
      <c r="J23" s="47"/>
      <c r="K23" s="47"/>
      <c r="L23" s="47"/>
    </row>
    <row r="26" spans="1:12" x14ac:dyDescent="0.2">
      <c r="A26" s="48" t="s">
        <v>53</v>
      </c>
      <c r="B26" s="48"/>
      <c r="C26" s="48"/>
      <c r="E26" s="48" t="s">
        <v>57</v>
      </c>
      <c r="F26" s="48"/>
      <c r="G26" s="48"/>
    </row>
    <row r="27" spans="1:12" ht="24" x14ac:dyDescent="0.2">
      <c r="A27" s="19" t="s">
        <v>54</v>
      </c>
      <c r="B27" s="19" t="s">
        <v>55</v>
      </c>
      <c r="C27" s="19" t="s">
        <v>56</v>
      </c>
      <c r="E27" s="19" t="s">
        <v>54</v>
      </c>
      <c r="F27" s="19" t="s">
        <v>55</v>
      </c>
      <c r="G27" s="19" t="s">
        <v>56</v>
      </c>
      <c r="I27" s="20"/>
      <c r="J27" s="21" t="s">
        <v>48</v>
      </c>
      <c r="K27" s="21" t="s">
        <v>49</v>
      </c>
      <c r="L27" s="21" t="s">
        <v>60</v>
      </c>
    </row>
    <row r="28" spans="1:12" x14ac:dyDescent="0.2">
      <c r="A28" s="2">
        <v>34</v>
      </c>
      <c r="B28" s="2">
        <f t="shared" ref="B28:B37" si="0">A28-$J$31</f>
        <v>0.89999999999999858</v>
      </c>
      <c r="C28" s="2">
        <f>B28^2</f>
        <v>0.80999999999999739</v>
      </c>
      <c r="E28" s="2">
        <v>34</v>
      </c>
      <c r="F28" s="2">
        <f t="shared" ref="F28:F37" si="1">E28-$K$31</f>
        <v>9.5</v>
      </c>
      <c r="G28" s="2">
        <f>F28^2</f>
        <v>90.25</v>
      </c>
      <c r="I28" s="1" t="s">
        <v>59</v>
      </c>
      <c r="J28" s="24">
        <f>COUNT(A14:A23)</f>
        <v>10</v>
      </c>
      <c r="K28" s="24">
        <f>COUNT(B14:B23)</f>
        <v>10</v>
      </c>
      <c r="L28" s="24">
        <f>J28-K28</f>
        <v>0</v>
      </c>
    </row>
    <row r="29" spans="1:12" x14ac:dyDescent="0.2">
      <c r="A29" s="2">
        <v>39</v>
      </c>
      <c r="B29" s="2">
        <f t="shared" si="0"/>
        <v>5.8999999999999986</v>
      </c>
      <c r="C29" s="2">
        <f t="shared" ref="C29:C37" si="2">B29^2</f>
        <v>34.809999999999981</v>
      </c>
      <c r="E29" s="2">
        <v>39</v>
      </c>
      <c r="F29" s="2">
        <f t="shared" si="1"/>
        <v>14.5</v>
      </c>
      <c r="G29" s="2">
        <f t="shared" ref="G29:G37" si="3">F29^2</f>
        <v>210.25</v>
      </c>
      <c r="I29" s="1" t="s">
        <v>50</v>
      </c>
      <c r="J29" s="24">
        <f>MIN(A14:A23)</f>
        <v>14</v>
      </c>
      <c r="K29" s="24">
        <f>MIN(B14:B23)</f>
        <v>16</v>
      </c>
      <c r="L29" s="24">
        <f t="shared" ref="L29:L35" si="4">J29-K29</f>
        <v>-2</v>
      </c>
    </row>
    <row r="30" spans="1:12" x14ac:dyDescent="0.2">
      <c r="A30" s="2">
        <v>40</v>
      </c>
      <c r="B30" s="2">
        <f t="shared" si="0"/>
        <v>6.8999999999999986</v>
      </c>
      <c r="C30" s="2">
        <f t="shared" si="2"/>
        <v>47.609999999999978</v>
      </c>
      <c r="E30" s="2">
        <v>40</v>
      </c>
      <c r="F30" s="2">
        <f t="shared" si="1"/>
        <v>15.5</v>
      </c>
      <c r="G30" s="2">
        <f t="shared" si="3"/>
        <v>240.25</v>
      </c>
      <c r="I30" s="1" t="s">
        <v>51</v>
      </c>
      <c r="J30" s="24">
        <f>MAX(A14:A23)</f>
        <v>46</v>
      </c>
      <c r="K30" s="24">
        <f>MAX(B14:B23)</f>
        <v>35</v>
      </c>
      <c r="L30" s="24">
        <f t="shared" si="4"/>
        <v>11</v>
      </c>
    </row>
    <row r="31" spans="1:12" x14ac:dyDescent="0.2">
      <c r="A31" s="2">
        <v>46</v>
      </c>
      <c r="B31" s="2">
        <f t="shared" si="0"/>
        <v>12.899999999999999</v>
      </c>
      <c r="C31" s="2">
        <f t="shared" si="2"/>
        <v>166.40999999999997</v>
      </c>
      <c r="E31" s="2">
        <v>46</v>
      </c>
      <c r="F31" s="2">
        <f t="shared" si="1"/>
        <v>21.5</v>
      </c>
      <c r="G31" s="2">
        <f t="shared" si="3"/>
        <v>462.25</v>
      </c>
      <c r="I31" s="1" t="s">
        <v>52</v>
      </c>
      <c r="J31" s="24">
        <f>AVERAGE(A14:A23)</f>
        <v>33.1</v>
      </c>
      <c r="K31" s="24">
        <f>AVERAGE(B14:B23)</f>
        <v>24.5</v>
      </c>
      <c r="L31" s="24">
        <f t="shared" si="4"/>
        <v>8.6000000000000014</v>
      </c>
    </row>
    <row r="32" spans="1:12" x14ac:dyDescent="0.2">
      <c r="A32" s="2">
        <v>33</v>
      </c>
      <c r="B32" s="2">
        <f t="shared" si="0"/>
        <v>-0.10000000000000142</v>
      </c>
      <c r="C32" s="2">
        <f t="shared" si="2"/>
        <v>1.0000000000000285E-2</v>
      </c>
      <c r="E32" s="2">
        <v>33</v>
      </c>
      <c r="F32" s="2">
        <f t="shared" si="1"/>
        <v>8.5</v>
      </c>
      <c r="G32" s="2">
        <f t="shared" si="3"/>
        <v>72.25</v>
      </c>
      <c r="I32" s="1" t="s">
        <v>6</v>
      </c>
      <c r="J32" s="24">
        <f>MEDIAN(A14:A23)</f>
        <v>34</v>
      </c>
      <c r="K32" s="24">
        <f>MEDIAN(B14:B23)</f>
        <v>25</v>
      </c>
      <c r="L32" s="24">
        <f t="shared" si="4"/>
        <v>9</v>
      </c>
    </row>
    <row r="33" spans="1:12" x14ac:dyDescent="0.2">
      <c r="A33" s="2">
        <v>31</v>
      </c>
      <c r="B33" s="2">
        <f t="shared" si="0"/>
        <v>-2.1000000000000014</v>
      </c>
      <c r="C33" s="2">
        <f t="shared" si="2"/>
        <v>4.4100000000000064</v>
      </c>
      <c r="E33" s="2">
        <v>31</v>
      </c>
      <c r="F33" s="2">
        <f t="shared" si="1"/>
        <v>6.5</v>
      </c>
      <c r="G33" s="2">
        <f t="shared" si="3"/>
        <v>42.25</v>
      </c>
      <c r="I33" s="1" t="s">
        <v>7</v>
      </c>
      <c r="J33" s="24">
        <f>_xlfn.MODE.SNGL(A14:A23)</f>
        <v>34</v>
      </c>
      <c r="K33" s="24">
        <f>_xlfn.MODE.SNGL(B14:B23)</f>
        <v>25</v>
      </c>
      <c r="L33" s="24">
        <f t="shared" si="4"/>
        <v>9</v>
      </c>
    </row>
    <row r="34" spans="1:12" x14ac:dyDescent="0.2">
      <c r="A34" s="2">
        <v>34</v>
      </c>
      <c r="B34" s="2">
        <f t="shared" si="0"/>
        <v>0.89999999999999858</v>
      </c>
      <c r="C34" s="2">
        <f t="shared" si="2"/>
        <v>0.80999999999999739</v>
      </c>
      <c r="E34" s="2">
        <v>34</v>
      </c>
      <c r="F34" s="2">
        <f t="shared" si="1"/>
        <v>9.5</v>
      </c>
      <c r="G34" s="2">
        <f t="shared" si="3"/>
        <v>90.25</v>
      </c>
      <c r="I34" s="1" t="s">
        <v>46</v>
      </c>
      <c r="J34" s="24">
        <f>J30-J29</f>
        <v>32</v>
      </c>
      <c r="K34" s="24">
        <f>K30-K29</f>
        <v>19</v>
      </c>
      <c r="L34" s="24">
        <f t="shared" si="4"/>
        <v>13</v>
      </c>
    </row>
    <row r="35" spans="1:12" x14ac:dyDescent="0.2">
      <c r="A35" s="2">
        <v>14</v>
      </c>
      <c r="B35" s="2">
        <f t="shared" si="0"/>
        <v>-19.100000000000001</v>
      </c>
      <c r="C35" s="2">
        <f t="shared" si="2"/>
        <v>364.81000000000006</v>
      </c>
      <c r="E35" s="2">
        <v>14</v>
      </c>
      <c r="F35" s="2">
        <f t="shared" si="1"/>
        <v>-10.5</v>
      </c>
      <c r="G35" s="2">
        <f t="shared" si="3"/>
        <v>110.25</v>
      </c>
      <c r="I35" s="1" t="s">
        <v>47</v>
      </c>
      <c r="J35" s="24">
        <f>C38</f>
        <v>108.88999999999999</v>
      </c>
      <c r="K35" s="24">
        <f>G38</f>
        <v>182.85</v>
      </c>
      <c r="L35" s="24">
        <f t="shared" si="4"/>
        <v>-73.960000000000008</v>
      </c>
    </row>
    <row r="36" spans="1:12" x14ac:dyDescent="0.2">
      <c r="A36" s="2">
        <v>15</v>
      </c>
      <c r="B36" s="2">
        <f t="shared" si="0"/>
        <v>-18.100000000000001</v>
      </c>
      <c r="C36" s="2">
        <f t="shared" si="2"/>
        <v>327.61000000000007</v>
      </c>
      <c r="E36" s="2">
        <v>15</v>
      </c>
      <c r="F36" s="2">
        <f t="shared" si="1"/>
        <v>-9.5</v>
      </c>
      <c r="G36" s="2">
        <f t="shared" si="3"/>
        <v>90.25</v>
      </c>
    </row>
    <row r="37" spans="1:12" x14ac:dyDescent="0.2">
      <c r="A37" s="2">
        <v>45</v>
      </c>
      <c r="B37" s="2">
        <f t="shared" si="0"/>
        <v>11.899999999999999</v>
      </c>
      <c r="C37" s="2">
        <f t="shared" si="2"/>
        <v>141.60999999999996</v>
      </c>
      <c r="E37" s="2">
        <v>45</v>
      </c>
      <c r="F37" s="2">
        <f t="shared" si="1"/>
        <v>20.5</v>
      </c>
      <c r="G37" s="2">
        <f t="shared" si="3"/>
        <v>420.25</v>
      </c>
    </row>
    <row r="38" spans="1:12" x14ac:dyDescent="0.2">
      <c r="C38" s="21">
        <f>SUM(C28:C37)/J28</f>
        <v>108.88999999999999</v>
      </c>
      <c r="G38" s="21">
        <f>SUM(G28:G37)/K28</f>
        <v>182.85</v>
      </c>
    </row>
    <row r="39" spans="1:12" x14ac:dyDescent="0.2">
      <c r="C39" s="2"/>
    </row>
  </sheetData>
  <mergeCells count="3">
    <mergeCell ref="A26:C26"/>
    <mergeCell ref="E26:G26"/>
    <mergeCell ref="E13:L23"/>
  </mergeCells>
  <pageMargins left="0.7" right="0.7" top="0.75" bottom="0.75" header="0.3" footer="0.3"/>
  <pageSetup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FE23-8249-49EE-96F6-C02CFCFAF354}">
  <dimension ref="A7:L30"/>
  <sheetViews>
    <sheetView workbookViewId="0">
      <selection activeCell="B26" sqref="B26:I30"/>
    </sheetView>
  </sheetViews>
  <sheetFormatPr defaultRowHeight="12" x14ac:dyDescent="0.2"/>
  <cols>
    <col min="1" max="1" width="4.5703125" bestFit="1" customWidth="1"/>
    <col min="2" max="2" width="12.28515625" bestFit="1" customWidth="1"/>
    <col min="3" max="3" width="11.42578125" bestFit="1" customWidth="1"/>
    <col min="4" max="4" width="2.7109375" customWidth="1"/>
    <col min="10" max="10" width="12.28515625" bestFit="1" customWidth="1"/>
    <col min="11" max="11" width="11" bestFit="1" customWidth="1"/>
  </cols>
  <sheetData>
    <row r="7" spans="1:9" x14ac:dyDescent="0.2">
      <c r="A7" s="26" t="s">
        <v>62</v>
      </c>
      <c r="B7" s="26" t="s">
        <v>64</v>
      </c>
      <c r="C7" s="26" t="s">
        <v>65</v>
      </c>
      <c r="F7" s="11" t="s">
        <v>3</v>
      </c>
      <c r="G7" s="21" t="str">
        <f>B7</f>
        <v>ROE_Plywood</v>
      </c>
      <c r="H7" s="21" t="str">
        <f>C7</f>
        <v>ROE_Dennis</v>
      </c>
      <c r="I7" s="21" t="s">
        <v>60</v>
      </c>
    </row>
    <row r="8" spans="1:9" x14ac:dyDescent="0.2">
      <c r="A8" s="25">
        <v>1</v>
      </c>
      <c r="B8" s="25">
        <v>4.3</v>
      </c>
      <c r="C8" s="25">
        <v>13.2</v>
      </c>
      <c r="F8" s="1" t="s">
        <v>59</v>
      </c>
      <c r="G8" s="24">
        <f>COUNT(B8:B12)</f>
        <v>5</v>
      </c>
      <c r="H8" s="24">
        <f>COUNT(C8:C12)</f>
        <v>5</v>
      </c>
      <c r="I8" s="24">
        <f>G8-H8</f>
        <v>0</v>
      </c>
    </row>
    <row r="9" spans="1:9" x14ac:dyDescent="0.2">
      <c r="A9" s="25">
        <v>2</v>
      </c>
      <c r="B9" s="25">
        <v>4.9000000000000004</v>
      </c>
      <c r="C9" s="25">
        <v>5</v>
      </c>
      <c r="F9" s="1" t="s">
        <v>50</v>
      </c>
      <c r="G9" s="24">
        <f>MIN(B8:B12)</f>
        <v>4.3</v>
      </c>
      <c r="H9" s="24">
        <f>MIN(C8:C12)</f>
        <v>5</v>
      </c>
      <c r="I9" s="24">
        <f t="shared" ref="I9:I12" si="0">G9-H9</f>
        <v>-0.70000000000000018</v>
      </c>
    </row>
    <row r="10" spans="1:9" x14ac:dyDescent="0.2">
      <c r="A10" s="25">
        <v>3</v>
      </c>
      <c r="B10" s="25">
        <v>7.2</v>
      </c>
      <c r="C10" s="25">
        <v>10.199999999999999</v>
      </c>
      <c r="F10" s="1" t="s">
        <v>51</v>
      </c>
      <c r="G10" s="24">
        <f>MAX(B8:B12)</f>
        <v>11.6</v>
      </c>
      <c r="H10" s="24">
        <f>MAX(C8:C12)</f>
        <v>17.5</v>
      </c>
      <c r="I10" s="24">
        <f t="shared" si="0"/>
        <v>-5.9</v>
      </c>
    </row>
    <row r="11" spans="1:9" x14ac:dyDescent="0.2">
      <c r="A11" s="25">
        <v>4</v>
      </c>
      <c r="B11" s="25">
        <v>6.7</v>
      </c>
      <c r="C11" s="25">
        <v>17.5</v>
      </c>
      <c r="F11" s="1" t="s">
        <v>46</v>
      </c>
      <c r="G11" s="27">
        <f>G10-G9</f>
        <v>7.3</v>
      </c>
      <c r="H11" s="24">
        <f>H10-H9</f>
        <v>12.5</v>
      </c>
      <c r="I11" s="24">
        <f>G11-H11</f>
        <v>-5.2</v>
      </c>
    </row>
    <row r="12" spans="1:9" x14ac:dyDescent="0.2">
      <c r="A12" s="25">
        <v>5</v>
      </c>
      <c r="B12" s="25">
        <v>11.6</v>
      </c>
      <c r="C12" s="25">
        <v>12.9</v>
      </c>
      <c r="F12" s="1" t="s">
        <v>52</v>
      </c>
      <c r="G12" s="37">
        <f>AVERAGE(B8:B12)</f>
        <v>6.9399999999999995</v>
      </c>
      <c r="H12" s="23">
        <f>AVERAGE(C8:C12)</f>
        <v>11.76</v>
      </c>
      <c r="I12" s="23">
        <f t="shared" si="0"/>
        <v>-4.82</v>
      </c>
    </row>
    <row r="13" spans="1:9" x14ac:dyDescent="0.2">
      <c r="F13" s="1" t="s">
        <v>67</v>
      </c>
      <c r="G13" s="44">
        <f>C23</f>
        <v>6.5943999999999985</v>
      </c>
      <c r="H13" s="22">
        <f>G23</f>
        <v>16.8904</v>
      </c>
      <c r="I13" s="22">
        <f>G13-H13</f>
        <v>-10.296000000000001</v>
      </c>
    </row>
    <row r="14" spans="1:9" x14ac:dyDescent="0.2">
      <c r="F14" s="1" t="s">
        <v>68</v>
      </c>
      <c r="G14" s="44">
        <f>SQRT(G13)</f>
        <v>2.567956385922471</v>
      </c>
      <c r="H14" s="22">
        <f>SQRT(H13)</f>
        <v>4.1097931821443279</v>
      </c>
      <c r="I14" s="22">
        <f>G14-H14</f>
        <v>-1.5418367962218569</v>
      </c>
    </row>
    <row r="15" spans="1:9" x14ac:dyDescent="0.2">
      <c r="F15" s="1"/>
      <c r="G15" s="1"/>
      <c r="H15" s="1"/>
      <c r="I15" s="24"/>
    </row>
    <row r="16" spans="1:9" ht="25.5" customHeight="1" x14ac:dyDescent="0.2">
      <c r="A16" s="48" t="str">
        <f>"Calculation of Variance in "&amp;B7</f>
        <v>Calculation of Variance in ROE_Plywood</v>
      </c>
      <c r="B16" s="48"/>
      <c r="C16" s="48"/>
      <c r="E16" s="48" t="str">
        <f>"Calculation of Variance in "&amp;C7</f>
        <v>Calculation of Variance in ROE_Dennis</v>
      </c>
      <c r="F16" s="48"/>
      <c r="G16" s="48"/>
    </row>
    <row r="17" spans="1:12" ht="24" x14ac:dyDescent="0.2">
      <c r="A17" s="19" t="s">
        <v>63</v>
      </c>
      <c r="B17" s="19" t="s">
        <v>55</v>
      </c>
      <c r="C17" s="19" t="s">
        <v>56</v>
      </c>
      <c r="E17" s="19" t="s">
        <v>63</v>
      </c>
      <c r="F17" s="19" t="s">
        <v>55</v>
      </c>
      <c r="G17" s="19" t="s">
        <v>56</v>
      </c>
    </row>
    <row r="18" spans="1:12" x14ac:dyDescent="0.2">
      <c r="A18" s="25">
        <v>4.3</v>
      </c>
      <c r="B18" s="24">
        <f>A18-$G$12</f>
        <v>-2.6399999999999997</v>
      </c>
      <c r="C18" s="2">
        <f>B18^2</f>
        <v>6.969599999999998</v>
      </c>
      <c r="E18" s="25">
        <v>13.2</v>
      </c>
      <c r="F18" s="24">
        <f>E18-$H$12</f>
        <v>1.4399999999999995</v>
      </c>
      <c r="G18" s="2">
        <f>F18^2</f>
        <v>2.0735999999999986</v>
      </c>
    </row>
    <row r="19" spans="1:12" x14ac:dyDescent="0.2">
      <c r="A19" s="25">
        <v>4.9000000000000004</v>
      </c>
      <c r="B19" s="24">
        <f t="shared" ref="B19:B22" si="1">A19-$G$12</f>
        <v>-2.0399999999999991</v>
      </c>
      <c r="C19" s="2">
        <f t="shared" ref="C19:C22" si="2">B19^2</f>
        <v>4.1615999999999964</v>
      </c>
      <c r="E19" s="25">
        <v>5</v>
      </c>
      <c r="F19" s="24">
        <f t="shared" ref="F19:F22" si="3">E19-$H$12</f>
        <v>-6.76</v>
      </c>
      <c r="G19" s="2">
        <f t="shared" ref="G19:G22" si="4">F19^2</f>
        <v>45.697599999999994</v>
      </c>
    </row>
    <row r="20" spans="1:12" x14ac:dyDescent="0.2">
      <c r="A20" s="25">
        <v>7.2</v>
      </c>
      <c r="B20" s="24">
        <f t="shared" si="1"/>
        <v>0.26000000000000068</v>
      </c>
      <c r="C20" s="2">
        <f t="shared" si="2"/>
        <v>6.7600000000000354E-2</v>
      </c>
      <c r="E20" s="25">
        <v>10.199999999999999</v>
      </c>
      <c r="F20" s="24">
        <f t="shared" si="3"/>
        <v>-1.5600000000000005</v>
      </c>
      <c r="G20" s="2">
        <f t="shared" si="4"/>
        <v>2.4336000000000015</v>
      </c>
    </row>
    <row r="21" spans="1:12" x14ac:dyDescent="0.2">
      <c r="A21" s="25">
        <v>6.7</v>
      </c>
      <c r="B21" s="24">
        <f t="shared" si="1"/>
        <v>-0.23999999999999932</v>
      </c>
      <c r="C21" s="2">
        <f t="shared" si="2"/>
        <v>5.7599999999999679E-2</v>
      </c>
      <c r="E21" s="25">
        <v>17.5</v>
      </c>
      <c r="F21" s="24">
        <f t="shared" si="3"/>
        <v>5.74</v>
      </c>
      <c r="G21" s="2">
        <f t="shared" si="4"/>
        <v>32.947600000000001</v>
      </c>
    </row>
    <row r="22" spans="1:12" x14ac:dyDescent="0.2">
      <c r="A22" s="25">
        <v>11.6</v>
      </c>
      <c r="B22" s="24">
        <f t="shared" si="1"/>
        <v>4.66</v>
      </c>
      <c r="C22" s="2">
        <f t="shared" si="2"/>
        <v>21.715600000000002</v>
      </c>
      <c r="E22" s="25">
        <v>12.9</v>
      </c>
      <c r="F22" s="24">
        <f t="shared" si="3"/>
        <v>1.1400000000000006</v>
      </c>
      <c r="G22" s="2">
        <f t="shared" si="4"/>
        <v>1.2996000000000012</v>
      </c>
    </row>
    <row r="23" spans="1:12" x14ac:dyDescent="0.2">
      <c r="B23" s="1" t="s">
        <v>67</v>
      </c>
      <c r="C23" s="21">
        <f>SUM(C18:C22)/G8</f>
        <v>6.5943999999999985</v>
      </c>
      <c r="F23" s="1" t="s">
        <v>67</v>
      </c>
      <c r="G23" s="21">
        <f>SUM(G18:G22)/H8</f>
        <v>16.8904</v>
      </c>
    </row>
    <row r="24" spans="1:12" x14ac:dyDescent="0.2">
      <c r="A24" s="2"/>
      <c r="B24" s="2"/>
      <c r="C24" s="2"/>
      <c r="E24" s="2"/>
      <c r="F24" s="2"/>
      <c r="G24" s="2"/>
    </row>
    <row r="25" spans="1:12" x14ac:dyDescent="0.2">
      <c r="A25" s="2"/>
      <c r="B25" s="2"/>
      <c r="C25" s="2"/>
      <c r="E25" s="2"/>
      <c r="F25" s="2"/>
      <c r="G25" s="2"/>
      <c r="I25" s="1"/>
      <c r="J25" s="24"/>
      <c r="K25" s="24"/>
      <c r="L25" s="24"/>
    </row>
    <row r="26" spans="1:12" x14ac:dyDescent="0.2">
      <c r="A26" s="28" t="s">
        <v>4</v>
      </c>
      <c r="B26" s="46" t="s">
        <v>106</v>
      </c>
      <c r="C26" s="46"/>
      <c r="D26" s="46"/>
      <c r="E26" s="46"/>
      <c r="F26" s="46"/>
      <c r="G26" s="46"/>
      <c r="H26" s="46"/>
      <c r="I26" s="46"/>
      <c r="J26" s="24"/>
      <c r="K26" s="24"/>
      <c r="L26" s="24"/>
    </row>
    <row r="27" spans="1:12" x14ac:dyDescent="0.2">
      <c r="A27" s="29"/>
      <c r="B27" s="46"/>
      <c r="C27" s="46"/>
      <c r="D27" s="46"/>
      <c r="E27" s="46"/>
      <c r="F27" s="46"/>
      <c r="G27" s="46"/>
      <c r="H27" s="46"/>
      <c r="I27" s="46"/>
    </row>
    <row r="28" spans="1:12" x14ac:dyDescent="0.2">
      <c r="A28" s="4"/>
      <c r="B28" s="46"/>
      <c r="C28" s="46"/>
      <c r="D28" s="46"/>
      <c r="E28" s="46"/>
      <c r="F28" s="46"/>
      <c r="G28" s="46"/>
      <c r="H28" s="46"/>
      <c r="I28" s="46"/>
    </row>
    <row r="29" spans="1:12" x14ac:dyDescent="0.2">
      <c r="A29" s="4"/>
      <c r="B29" s="46"/>
      <c r="C29" s="46"/>
      <c r="D29" s="46"/>
      <c r="E29" s="46"/>
      <c r="F29" s="46"/>
      <c r="G29" s="46"/>
      <c r="H29" s="46"/>
      <c r="I29" s="46"/>
    </row>
    <row r="30" spans="1:12" x14ac:dyDescent="0.2">
      <c r="A30" s="4"/>
      <c r="B30" s="46"/>
      <c r="C30" s="46"/>
      <c r="D30" s="46"/>
      <c r="E30" s="46"/>
      <c r="F30" s="46"/>
      <c r="G30" s="46"/>
      <c r="H30" s="46"/>
      <c r="I30" s="46"/>
    </row>
  </sheetData>
  <mergeCells count="3">
    <mergeCell ref="A16:C16"/>
    <mergeCell ref="E16:G16"/>
    <mergeCell ref="B26:I3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5EB8F-37CD-42EE-ACE3-F2E4EA0935E9}">
  <dimension ref="A12:G25"/>
  <sheetViews>
    <sheetView workbookViewId="0">
      <selection activeCell="D24" sqref="D24"/>
    </sheetView>
  </sheetViews>
  <sheetFormatPr defaultRowHeight="12" x14ac:dyDescent="0.2"/>
  <cols>
    <col min="1" max="1" width="2.42578125" bestFit="1" customWidth="1"/>
    <col min="5" max="5" width="2.5703125" bestFit="1" customWidth="1"/>
  </cols>
  <sheetData>
    <row r="12" spans="2:7" ht="24" x14ac:dyDescent="0.2">
      <c r="B12" s="21" t="s">
        <v>11</v>
      </c>
      <c r="C12" s="19" t="s">
        <v>55</v>
      </c>
      <c r="D12" s="19" t="s">
        <v>56</v>
      </c>
    </row>
    <row r="13" spans="2:7" x14ac:dyDescent="0.2">
      <c r="B13" s="2">
        <v>101</v>
      </c>
      <c r="C13" s="2">
        <f>B13-AVERAGE($B$13:$B$22)</f>
        <v>5.9000000000000057</v>
      </c>
      <c r="D13" s="2">
        <f>C13^2</f>
        <v>34.810000000000066</v>
      </c>
      <c r="G13" s="20"/>
    </row>
    <row r="14" spans="2:7" x14ac:dyDescent="0.2">
      <c r="B14" s="2">
        <v>97</v>
      </c>
      <c r="C14" s="2">
        <f t="shared" ref="C14:C22" si="0">B14-AVERAGE($B$13:$B$22)</f>
        <v>1.9000000000000057</v>
      </c>
      <c r="D14" s="2">
        <f t="shared" ref="D14:D22" si="1">C14^2</f>
        <v>3.6100000000000216</v>
      </c>
      <c r="G14" s="20"/>
    </row>
    <row r="15" spans="2:7" x14ac:dyDescent="0.2">
      <c r="B15" s="2">
        <v>103</v>
      </c>
      <c r="C15" s="2">
        <f t="shared" si="0"/>
        <v>7.9000000000000057</v>
      </c>
      <c r="D15" s="2">
        <f t="shared" si="1"/>
        <v>62.410000000000089</v>
      </c>
    </row>
    <row r="16" spans="2:7" x14ac:dyDescent="0.2">
      <c r="B16" s="2">
        <v>110</v>
      </c>
      <c r="C16" s="2">
        <f t="shared" si="0"/>
        <v>14.900000000000006</v>
      </c>
      <c r="D16" s="2">
        <f t="shared" si="1"/>
        <v>222.01000000000016</v>
      </c>
    </row>
    <row r="17" spans="1:6" x14ac:dyDescent="0.2">
      <c r="B17" s="2">
        <v>78</v>
      </c>
      <c r="C17" s="2">
        <f t="shared" si="0"/>
        <v>-17.099999999999994</v>
      </c>
      <c r="D17" s="2">
        <f t="shared" si="1"/>
        <v>292.4099999999998</v>
      </c>
    </row>
    <row r="18" spans="1:6" x14ac:dyDescent="0.2">
      <c r="B18" s="2">
        <v>87</v>
      </c>
      <c r="C18" s="2">
        <f t="shared" si="0"/>
        <v>-8.0999999999999943</v>
      </c>
      <c r="D18" s="2">
        <f t="shared" si="1"/>
        <v>65.609999999999914</v>
      </c>
    </row>
    <row r="19" spans="1:6" x14ac:dyDescent="0.2">
      <c r="B19" s="2">
        <v>101</v>
      </c>
      <c r="C19" s="2">
        <f t="shared" si="0"/>
        <v>5.9000000000000057</v>
      </c>
      <c r="D19" s="2">
        <f t="shared" si="1"/>
        <v>34.810000000000066</v>
      </c>
    </row>
    <row r="20" spans="1:6" x14ac:dyDescent="0.2">
      <c r="B20" s="2">
        <v>80</v>
      </c>
      <c r="C20" s="2">
        <f t="shared" si="0"/>
        <v>-15.099999999999994</v>
      </c>
      <c r="D20" s="2">
        <f t="shared" si="1"/>
        <v>228.00999999999982</v>
      </c>
    </row>
    <row r="21" spans="1:6" x14ac:dyDescent="0.2">
      <c r="B21" s="2">
        <v>106</v>
      </c>
      <c r="C21" s="2">
        <f t="shared" si="0"/>
        <v>10.900000000000006</v>
      </c>
      <c r="D21" s="2">
        <f t="shared" si="1"/>
        <v>118.81000000000013</v>
      </c>
    </row>
    <row r="22" spans="1:6" x14ac:dyDescent="0.2">
      <c r="B22" s="2">
        <v>88</v>
      </c>
      <c r="C22" s="2">
        <f t="shared" si="0"/>
        <v>-7.0999999999999943</v>
      </c>
      <c r="D22" s="2">
        <f t="shared" si="1"/>
        <v>50.409999999999918</v>
      </c>
    </row>
    <row r="23" spans="1:6" x14ac:dyDescent="0.2">
      <c r="C23" s="1" t="s">
        <v>69</v>
      </c>
      <c r="D23" s="21">
        <f>SUM(D13:D22)</f>
        <v>1112.9000000000001</v>
      </c>
    </row>
    <row r="24" spans="1:6" x14ac:dyDescent="0.2">
      <c r="A24" s="11" t="s">
        <v>3</v>
      </c>
      <c r="B24" s="4"/>
      <c r="C24" s="5" t="s">
        <v>66</v>
      </c>
      <c r="D24" s="30">
        <f>D23/(COUNT(B13:B22)-1)</f>
        <v>123.65555555555557</v>
      </c>
      <c r="E24" s="4" t="s">
        <v>70</v>
      </c>
      <c r="F24" s="11">
        <f>_xlfn.VAR.S(B13:B22)</f>
        <v>123.65555555555491</v>
      </c>
    </row>
    <row r="25" spans="1:6" x14ac:dyDescent="0.2">
      <c r="A25" s="11" t="s">
        <v>4</v>
      </c>
      <c r="B25" s="4"/>
      <c r="C25" s="5" t="s">
        <v>71</v>
      </c>
      <c r="D25" s="11">
        <f>D24^(1/2)</f>
        <v>11.120051958311866</v>
      </c>
      <c r="E25" s="4" t="s">
        <v>70</v>
      </c>
      <c r="F25" s="11">
        <f>_xlfn.STDEV.S(B13:B22)</f>
        <v>11.120051958311837</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7DA2-CF76-4734-8B1C-A20176189FC0}">
  <dimension ref="A6:C7"/>
  <sheetViews>
    <sheetView workbookViewId="0">
      <selection activeCell="B6" sqref="B6"/>
    </sheetView>
  </sheetViews>
  <sheetFormatPr defaultRowHeight="12" x14ac:dyDescent="0.2"/>
  <cols>
    <col min="1" max="1" width="2.42578125" bestFit="1" customWidth="1"/>
  </cols>
  <sheetData>
    <row r="6" spans="1:3" x14ac:dyDescent="0.2">
      <c r="A6" s="11" t="s">
        <v>3</v>
      </c>
      <c r="B6" s="43">
        <v>0.95</v>
      </c>
      <c r="C6" s="43"/>
    </row>
    <row r="7" spans="1:3" x14ac:dyDescent="0.2">
      <c r="A7" s="11" t="s">
        <v>4</v>
      </c>
      <c r="B7" s="43">
        <f>B6/2</f>
        <v>0.47499999999999998</v>
      </c>
      <c r="C7" s="43">
        <f>0.5-B7</f>
        <v>2.5000000000000022E-2</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8B5EC-70EA-4F00-9F01-BD76AF940319}">
  <dimension ref="A7:J21"/>
  <sheetViews>
    <sheetView workbookViewId="0">
      <selection activeCell="N36" sqref="N36"/>
    </sheetView>
  </sheetViews>
  <sheetFormatPr defaultRowHeight="12" x14ac:dyDescent="0.2"/>
  <cols>
    <col min="1" max="1" width="10.85546875" bestFit="1" customWidth="1"/>
    <col min="2" max="2" width="4.140625" bestFit="1" customWidth="1"/>
    <col min="5" max="5" width="2.5703125" bestFit="1" customWidth="1"/>
    <col min="6" max="6" width="14" bestFit="1" customWidth="1"/>
    <col min="7" max="7" width="6.42578125" bestFit="1" customWidth="1"/>
    <col min="8" max="8" width="2.5703125" bestFit="1" customWidth="1"/>
    <col min="9" max="9" width="6.42578125" bestFit="1" customWidth="1"/>
  </cols>
  <sheetData>
    <row r="7" spans="1:10" ht="24" x14ac:dyDescent="0.2">
      <c r="A7" s="21" t="s">
        <v>72</v>
      </c>
      <c r="B7" s="21" t="s">
        <v>73</v>
      </c>
      <c r="C7" s="19" t="s">
        <v>55</v>
      </c>
      <c r="D7" s="19" t="s">
        <v>56</v>
      </c>
    </row>
    <row r="8" spans="1:10" x14ac:dyDescent="0.2">
      <c r="A8" s="2">
        <v>1</v>
      </c>
      <c r="B8" s="2">
        <v>32</v>
      </c>
      <c r="C8" s="2">
        <f>B8-AVERAGE($B$8:$B$17)</f>
        <v>-11.200000000000003</v>
      </c>
      <c r="D8" s="2">
        <f>C8^2</f>
        <v>125.44000000000007</v>
      </c>
      <c r="F8" s="1" t="s">
        <v>58</v>
      </c>
      <c r="G8" s="2">
        <f>COUNT(B8:B17)</f>
        <v>10</v>
      </c>
      <c r="H8" s="2"/>
      <c r="I8" s="2"/>
    </row>
    <row r="9" spans="1:10" x14ac:dyDescent="0.2">
      <c r="A9" s="2">
        <v>2</v>
      </c>
      <c r="B9" s="2">
        <v>21</v>
      </c>
      <c r="C9" s="2">
        <f t="shared" ref="C9:C17" si="0">B9-AVERAGE($B$8:$B$17)</f>
        <v>-22.200000000000003</v>
      </c>
      <c r="D9" s="2">
        <f t="shared" ref="D9:D17" si="1">C9^2</f>
        <v>492.84000000000015</v>
      </c>
      <c r="F9" s="1" t="s">
        <v>50</v>
      </c>
      <c r="G9" s="2">
        <f>MIN(B8:B17)</f>
        <v>17</v>
      </c>
      <c r="H9" s="2"/>
      <c r="I9" s="2"/>
    </row>
    <row r="10" spans="1:10" x14ac:dyDescent="0.2">
      <c r="A10" s="2">
        <v>3</v>
      </c>
      <c r="B10" s="2">
        <v>60</v>
      </c>
      <c r="C10" s="2">
        <f t="shared" si="0"/>
        <v>16.799999999999997</v>
      </c>
      <c r="D10" s="2">
        <f t="shared" si="1"/>
        <v>282.2399999999999</v>
      </c>
      <c r="F10" s="1" t="s">
        <v>51</v>
      </c>
      <c r="G10" s="2">
        <f>MAX(B8:B17)</f>
        <v>72</v>
      </c>
      <c r="H10" s="2"/>
      <c r="I10" s="2"/>
    </row>
    <row r="11" spans="1:10" x14ac:dyDescent="0.2">
      <c r="A11" s="2">
        <v>4</v>
      </c>
      <c r="B11" s="2">
        <v>47</v>
      </c>
      <c r="C11" s="2">
        <f t="shared" si="0"/>
        <v>3.7999999999999972</v>
      </c>
      <c r="D11" s="2">
        <f t="shared" si="1"/>
        <v>14.439999999999978</v>
      </c>
      <c r="E11" s="11" t="s">
        <v>3</v>
      </c>
      <c r="F11" s="5" t="s">
        <v>46</v>
      </c>
      <c r="G11" s="29">
        <f>G10-G9</f>
        <v>55</v>
      </c>
      <c r="H11" s="2"/>
      <c r="I11" s="2"/>
    </row>
    <row r="12" spans="1:10" x14ac:dyDescent="0.2">
      <c r="A12" s="2">
        <v>5</v>
      </c>
      <c r="B12" s="2">
        <v>54</v>
      </c>
      <c r="C12" s="2">
        <f t="shared" si="0"/>
        <v>10.799999999999997</v>
      </c>
      <c r="D12" s="2">
        <f t="shared" si="1"/>
        <v>116.63999999999994</v>
      </c>
      <c r="F12" s="1" t="s">
        <v>75</v>
      </c>
      <c r="G12" s="33">
        <f>D18/(COUNT(B8:B17)-1)</f>
        <v>310.62222222222215</v>
      </c>
      <c r="H12" s="35" t="s">
        <v>70</v>
      </c>
      <c r="I12" s="33">
        <f>_xlfn.VAR.S(B8:B17)</f>
        <v>310.62222222222204</v>
      </c>
      <c r="J12" s="31"/>
    </row>
    <row r="13" spans="1:10" x14ac:dyDescent="0.2">
      <c r="A13" s="2">
        <v>6</v>
      </c>
      <c r="B13" s="2">
        <v>17</v>
      </c>
      <c r="C13" s="2">
        <f t="shared" si="0"/>
        <v>-26.200000000000003</v>
      </c>
      <c r="D13" s="2">
        <f t="shared" si="1"/>
        <v>686.44000000000017</v>
      </c>
      <c r="E13" s="11" t="s">
        <v>4</v>
      </c>
      <c r="F13" s="5" t="s">
        <v>74</v>
      </c>
      <c r="G13" s="36">
        <f>G12^(1/2)</f>
        <v>17.624477927650002</v>
      </c>
      <c r="H13" s="37" t="s">
        <v>70</v>
      </c>
      <c r="I13" s="36">
        <f>_xlfn.STDEV.S(B8:B17)</f>
        <v>17.624477927649998</v>
      </c>
    </row>
    <row r="14" spans="1:10" x14ac:dyDescent="0.2">
      <c r="A14" s="2">
        <v>7</v>
      </c>
      <c r="B14" s="2">
        <v>72</v>
      </c>
      <c r="C14" s="2">
        <f t="shared" si="0"/>
        <v>28.799999999999997</v>
      </c>
      <c r="D14" s="2">
        <f t="shared" si="1"/>
        <v>829.43999999999983</v>
      </c>
    </row>
    <row r="15" spans="1:10" x14ac:dyDescent="0.2">
      <c r="A15" s="2">
        <v>8</v>
      </c>
      <c r="B15" s="2">
        <v>55</v>
      </c>
      <c r="C15" s="2">
        <f t="shared" si="0"/>
        <v>11.799999999999997</v>
      </c>
      <c r="D15" s="2">
        <f t="shared" si="1"/>
        <v>139.23999999999992</v>
      </c>
    </row>
    <row r="16" spans="1:10" x14ac:dyDescent="0.2">
      <c r="A16" s="2">
        <v>9</v>
      </c>
      <c r="B16" s="2">
        <v>33</v>
      </c>
      <c r="C16" s="2">
        <f t="shared" si="0"/>
        <v>-10.200000000000003</v>
      </c>
      <c r="D16" s="2">
        <f t="shared" si="1"/>
        <v>104.04000000000006</v>
      </c>
    </row>
    <row r="17" spans="1:7" x14ac:dyDescent="0.2">
      <c r="A17" s="2">
        <v>10</v>
      </c>
      <c r="B17" s="2">
        <v>41</v>
      </c>
      <c r="C17" s="2">
        <f t="shared" si="0"/>
        <v>-2.2000000000000028</v>
      </c>
      <c r="D17" s="2">
        <f t="shared" si="1"/>
        <v>4.8400000000000123</v>
      </c>
    </row>
    <row r="18" spans="1:7" x14ac:dyDescent="0.2">
      <c r="C18" s="1" t="s">
        <v>69</v>
      </c>
      <c r="D18" s="21">
        <f>SUM(D8:D17)</f>
        <v>2795.5999999999995</v>
      </c>
    </row>
    <row r="19" spans="1:7" x14ac:dyDescent="0.2">
      <c r="A19" s="31"/>
      <c r="B19" s="31"/>
      <c r="C19" s="32"/>
      <c r="D19" s="31"/>
      <c r="F19" s="1" t="s">
        <v>1</v>
      </c>
      <c r="G19">
        <f>AVERAGE(B8:B17)</f>
        <v>43.2</v>
      </c>
    </row>
    <row r="20" spans="1:7" x14ac:dyDescent="0.2">
      <c r="A20" s="31"/>
      <c r="B20" s="31"/>
      <c r="C20" s="32"/>
      <c r="D20" s="31"/>
      <c r="F20" s="1" t="s">
        <v>107</v>
      </c>
      <c r="G20" s="45">
        <f>G13/G19</f>
        <v>0.40797402610300926</v>
      </c>
    </row>
    <row r="21" spans="1:7" x14ac:dyDescent="0.2">
      <c r="A21" s="31"/>
      <c r="B21" s="31"/>
      <c r="C21" s="31"/>
      <c r="D21" s="31"/>
      <c r="F21" t="s">
        <v>108</v>
      </c>
    </row>
  </sheetData>
  <pageMargins left="0.7" right="0.7" top="0.75" bottom="0.75" header="0.3" footer="0.3"/>
  <pageSetup orientation="portrait" horizontalDpi="0"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19C9C-1DA1-4AC0-B5BF-C547844574B0}">
  <dimension ref="A1:Q42"/>
  <sheetViews>
    <sheetView workbookViewId="0">
      <selection activeCell="M38" sqref="M38"/>
    </sheetView>
  </sheetViews>
  <sheetFormatPr defaultRowHeight="12" x14ac:dyDescent="0.2"/>
  <cols>
    <col min="1" max="1" width="2.42578125" bestFit="1" customWidth="1"/>
    <col min="3" max="3" width="2.5703125" bestFit="1" customWidth="1"/>
    <col min="12" max="12" width="10.42578125" customWidth="1"/>
    <col min="13" max="13" width="25.5703125" bestFit="1" customWidth="1"/>
    <col min="14" max="14" width="9.7109375" bestFit="1" customWidth="1"/>
    <col min="16" max="16" width="13.5703125" bestFit="1" customWidth="1"/>
  </cols>
  <sheetData>
    <row r="1" spans="13:17" ht="24" x14ac:dyDescent="0.2">
      <c r="M1" s="39" t="s">
        <v>76</v>
      </c>
      <c r="N1" s="21" t="s">
        <v>77</v>
      </c>
      <c r="O1" s="19" t="s">
        <v>55</v>
      </c>
      <c r="P1" s="19" t="s">
        <v>56</v>
      </c>
      <c r="Q1" s="20"/>
    </row>
    <row r="2" spans="13:17" x14ac:dyDescent="0.2">
      <c r="M2" s="34" t="s">
        <v>78</v>
      </c>
      <c r="N2" s="38">
        <v>22101</v>
      </c>
      <c r="O2" s="40">
        <f t="shared" ref="O2:O14" si="0">N2-AVERAGE($N$2:$N$14)</f>
        <v>-2995.6923076923085</v>
      </c>
      <c r="P2" s="40">
        <f t="shared" ref="P2:P14" si="1">O2^2</f>
        <v>8974172.4023668692</v>
      </c>
    </row>
    <row r="3" spans="13:17" x14ac:dyDescent="0.2">
      <c r="M3" s="34" t="s">
        <v>79</v>
      </c>
      <c r="N3" s="38">
        <v>19423</v>
      </c>
      <c r="O3" s="40">
        <f t="shared" si="0"/>
        <v>-5673.6923076923085</v>
      </c>
      <c r="P3" s="40">
        <f t="shared" si="1"/>
        <v>32190784.402366873</v>
      </c>
    </row>
    <row r="4" spans="13:17" x14ac:dyDescent="0.2">
      <c r="M4" s="34" t="s">
        <v>80</v>
      </c>
      <c r="N4" s="38">
        <v>1748</v>
      </c>
      <c r="O4" s="40">
        <f t="shared" si="0"/>
        <v>-23348.692307692309</v>
      </c>
      <c r="P4" s="40">
        <f t="shared" si="1"/>
        <v>545161432.47929001</v>
      </c>
    </row>
    <row r="5" spans="13:17" x14ac:dyDescent="0.2">
      <c r="M5" s="34" t="s">
        <v>81</v>
      </c>
      <c r="N5" s="38">
        <v>44969</v>
      </c>
      <c r="O5" s="40">
        <f t="shared" si="0"/>
        <v>19872.307692307691</v>
      </c>
      <c r="P5" s="40">
        <f t="shared" si="1"/>
        <v>394908613.01775146</v>
      </c>
    </row>
    <row r="6" spans="13:17" x14ac:dyDescent="0.2">
      <c r="M6" s="34" t="s">
        <v>82</v>
      </c>
      <c r="N6" s="38">
        <v>16667</v>
      </c>
      <c r="O6" s="40">
        <f t="shared" si="0"/>
        <v>-8429.6923076923085</v>
      </c>
      <c r="P6" s="40">
        <f t="shared" si="1"/>
        <v>71059712.402366877</v>
      </c>
    </row>
    <row r="7" spans="13:17" x14ac:dyDescent="0.2">
      <c r="M7" s="34" t="s">
        <v>83</v>
      </c>
      <c r="N7" s="38">
        <v>39598</v>
      </c>
      <c r="O7" s="40">
        <f t="shared" si="0"/>
        <v>14501.307692307691</v>
      </c>
      <c r="P7" s="40">
        <f t="shared" si="1"/>
        <v>210287924.78698224</v>
      </c>
    </row>
    <row r="8" spans="13:17" x14ac:dyDescent="0.2">
      <c r="M8" s="34" t="s">
        <v>84</v>
      </c>
      <c r="N8" s="38">
        <v>24283</v>
      </c>
      <c r="O8" s="40">
        <f t="shared" si="0"/>
        <v>-813.69230769230853</v>
      </c>
      <c r="P8" s="40">
        <f t="shared" si="1"/>
        <v>662095.17159763456</v>
      </c>
    </row>
    <row r="9" spans="13:17" x14ac:dyDescent="0.2">
      <c r="M9" s="34" t="s">
        <v>85</v>
      </c>
      <c r="N9" s="38">
        <v>67524</v>
      </c>
      <c r="O9" s="40">
        <f t="shared" si="0"/>
        <v>42427.307692307688</v>
      </c>
      <c r="P9" s="40">
        <f t="shared" si="1"/>
        <v>1800076438.0177512</v>
      </c>
    </row>
    <row r="10" spans="13:17" x14ac:dyDescent="0.2">
      <c r="M10" s="34" t="s">
        <v>86</v>
      </c>
      <c r="N10" s="38">
        <v>36287</v>
      </c>
      <c r="O10" s="40">
        <f t="shared" si="0"/>
        <v>11190.307692307691</v>
      </c>
      <c r="P10" s="40">
        <f t="shared" si="1"/>
        <v>125222986.24852069</v>
      </c>
    </row>
    <row r="11" spans="13:17" x14ac:dyDescent="0.2">
      <c r="M11" s="34" t="s">
        <v>87</v>
      </c>
      <c r="N11" s="38">
        <v>3600</v>
      </c>
      <c r="O11" s="40">
        <f t="shared" si="0"/>
        <v>-21496.692307692309</v>
      </c>
      <c r="P11" s="40">
        <f t="shared" si="1"/>
        <v>462107780.17159766</v>
      </c>
    </row>
    <row r="12" spans="13:17" x14ac:dyDescent="0.2">
      <c r="M12" s="34" t="s">
        <v>88</v>
      </c>
      <c r="N12" s="38">
        <v>20491</v>
      </c>
      <c r="O12" s="40">
        <f t="shared" si="0"/>
        <v>-4605.6923076923085</v>
      </c>
      <c r="P12" s="40">
        <f t="shared" si="1"/>
        <v>21212401.633136101</v>
      </c>
    </row>
    <row r="13" spans="13:17" x14ac:dyDescent="0.2">
      <c r="M13" s="34" t="s">
        <v>89</v>
      </c>
      <c r="N13" s="38">
        <v>16961</v>
      </c>
      <c r="O13" s="40">
        <f t="shared" si="0"/>
        <v>-8135.6923076923085</v>
      </c>
      <c r="P13" s="40">
        <f t="shared" si="1"/>
        <v>66189489.325443804</v>
      </c>
    </row>
    <row r="14" spans="13:17" x14ac:dyDescent="0.2">
      <c r="M14" s="34" t="s">
        <v>90</v>
      </c>
      <c r="N14" s="38">
        <v>12605</v>
      </c>
      <c r="O14" s="40">
        <f t="shared" si="0"/>
        <v>-12491.692307692309</v>
      </c>
      <c r="P14" s="40">
        <f t="shared" si="1"/>
        <v>156042376.7100592</v>
      </c>
    </row>
    <row r="15" spans="13:17" x14ac:dyDescent="0.2">
      <c r="O15" s="1" t="s">
        <v>96</v>
      </c>
      <c r="P15" s="41">
        <f>SUM(P2:P14)</f>
        <v>3894096206.7692308</v>
      </c>
    </row>
    <row r="16" spans="13:17" x14ac:dyDescent="0.2">
      <c r="O16" s="1" t="s">
        <v>67</v>
      </c>
      <c r="P16" s="40">
        <f>P15/COUNT(N2:N14)</f>
        <v>299545862.05917162</v>
      </c>
    </row>
    <row r="36" spans="1:9" x14ac:dyDescent="0.2">
      <c r="A36" s="11" t="s">
        <v>3</v>
      </c>
      <c r="B36" s="42" t="s">
        <v>91</v>
      </c>
      <c r="C36" s="4"/>
      <c r="D36" s="4"/>
      <c r="E36" s="4"/>
      <c r="F36" s="4"/>
      <c r="G36" s="4"/>
      <c r="H36" s="4"/>
      <c r="I36" s="4"/>
    </row>
    <row r="37" spans="1:9" x14ac:dyDescent="0.2">
      <c r="A37" s="11" t="s">
        <v>4</v>
      </c>
      <c r="B37" s="42" t="str">
        <f>TEXT(AVERAGE(N2:N14),"0,000")</f>
        <v>25,097</v>
      </c>
      <c r="C37" s="4"/>
      <c r="D37" s="4"/>
      <c r="E37" s="4"/>
      <c r="F37" s="4"/>
      <c r="G37" s="4"/>
      <c r="H37" s="4"/>
      <c r="I37" s="4"/>
    </row>
    <row r="38" spans="1:9" x14ac:dyDescent="0.2">
      <c r="A38" s="11" t="s">
        <v>5</v>
      </c>
      <c r="B38" s="42" t="str">
        <f>TEXT(MEDIAN(N2:N14),"0,000")</f>
        <v>20,491</v>
      </c>
      <c r="C38" s="4"/>
      <c r="D38" s="4"/>
      <c r="E38" s="4"/>
      <c r="F38" s="4"/>
      <c r="G38" s="4"/>
      <c r="H38" s="4"/>
      <c r="I38" s="4"/>
    </row>
    <row r="39" spans="1:9" x14ac:dyDescent="0.2">
      <c r="A39" s="11" t="s">
        <v>92</v>
      </c>
      <c r="B39" s="42" t="str" cm="1">
        <f t="array" ref="B39">_xlfn.IFNA(_xlfn.MODE.MULT(N2:N14),"No Mode")</f>
        <v>No Mode</v>
      </c>
      <c r="C39" s="4"/>
      <c r="D39" s="4"/>
      <c r="E39" s="4"/>
      <c r="F39" s="4"/>
      <c r="G39" s="4"/>
      <c r="H39" s="4"/>
      <c r="I39" s="4"/>
    </row>
    <row r="40" spans="1:9" x14ac:dyDescent="0.2">
      <c r="A40" s="11" t="s">
        <v>93</v>
      </c>
      <c r="B40" s="4" t="s">
        <v>97</v>
      </c>
      <c r="C40" s="4"/>
      <c r="D40" s="4"/>
      <c r="E40" s="4"/>
      <c r="F40" s="4"/>
      <c r="G40" s="4"/>
      <c r="H40" s="4"/>
      <c r="I40" s="4"/>
    </row>
    <row r="41" spans="1:9" x14ac:dyDescent="0.2">
      <c r="A41" s="11" t="s">
        <v>94</v>
      </c>
      <c r="B41" s="42" t="str">
        <f>TEXT(MAX(N2:N14)-MIN(N2:N14),"0,000")</f>
        <v>65,776</v>
      </c>
      <c r="C41" s="4"/>
      <c r="D41" s="4"/>
      <c r="E41" s="4"/>
      <c r="F41" s="4"/>
      <c r="G41" s="4"/>
      <c r="H41" s="4"/>
      <c r="I41" s="4"/>
    </row>
    <row r="42" spans="1:9" x14ac:dyDescent="0.2">
      <c r="A42" s="11" t="s">
        <v>95</v>
      </c>
      <c r="B42" s="4" t="str">
        <f>TEXT(SQRT(P16),"0,000.00")</f>
        <v>17,307.39</v>
      </c>
      <c r="C42" s="4" t="s">
        <v>70</v>
      </c>
      <c r="D42" s="4" t="str">
        <f>TEXT(_xlfn.STDEV.P(N2:N14),"0,000.00")</f>
        <v>17,307.39</v>
      </c>
      <c r="E42" s="4"/>
      <c r="F42" s="4"/>
      <c r="G42" s="4"/>
      <c r="H42" s="4"/>
      <c r="I42" s="4"/>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42B54-F04A-48FD-BBDB-D8D355AF7DDD}">
  <dimension ref="A12:E37"/>
  <sheetViews>
    <sheetView workbookViewId="0">
      <selection activeCell="E22" sqref="E22"/>
    </sheetView>
  </sheetViews>
  <sheetFormatPr defaultRowHeight="12" x14ac:dyDescent="0.2"/>
  <cols>
    <col min="3" max="3" width="2.42578125" bestFit="1" customWidth="1"/>
    <col min="4" max="4" width="9.85546875" bestFit="1" customWidth="1"/>
  </cols>
  <sheetData>
    <row r="12" spans="1:5" x14ac:dyDescent="0.2">
      <c r="A12" t="s">
        <v>98</v>
      </c>
      <c r="C12" s="11" t="s">
        <v>3</v>
      </c>
      <c r="D12" s="4" t="s">
        <v>99</v>
      </c>
      <c r="E12" s="17">
        <f>AVERAGE(A13:A37)</f>
        <v>717.2</v>
      </c>
    </row>
    <row r="13" spans="1:5" x14ac:dyDescent="0.2">
      <c r="A13">
        <v>684</v>
      </c>
      <c r="C13" s="11"/>
      <c r="D13" s="4" t="s">
        <v>100</v>
      </c>
      <c r="E13" s="17">
        <f>MEDIAN(A13:A37)</f>
        <v>717</v>
      </c>
    </row>
    <row r="14" spans="1:5" x14ac:dyDescent="0.2">
      <c r="A14">
        <v>710</v>
      </c>
      <c r="C14" s="11"/>
      <c r="D14" s="4" t="s">
        <v>101</v>
      </c>
      <c r="E14" s="17" cm="1">
        <f t="array" ref="E14:E15">_xlfn.MODE.MULT(A13:A37)</f>
        <v>710</v>
      </c>
    </row>
    <row r="15" spans="1:5" x14ac:dyDescent="0.2">
      <c r="A15">
        <v>688</v>
      </c>
      <c r="C15" s="4"/>
      <c r="D15" s="4"/>
      <c r="E15" s="17">
        <v>722</v>
      </c>
    </row>
    <row r="16" spans="1:5" x14ac:dyDescent="0.2">
      <c r="A16">
        <v>711</v>
      </c>
      <c r="C16" s="11" t="s">
        <v>4</v>
      </c>
      <c r="D16" s="4" t="s">
        <v>102</v>
      </c>
      <c r="E16" s="17">
        <f>MAX(A13:A37)-MIN(A13:A37)</f>
        <v>90</v>
      </c>
    </row>
    <row r="17" spans="1:5" x14ac:dyDescent="0.2">
      <c r="A17">
        <v>722</v>
      </c>
      <c r="C17" s="11"/>
      <c r="D17" s="4" t="s">
        <v>103</v>
      </c>
      <c r="E17" s="17">
        <f>_xlfn.STDEV.S(A13:A37)</f>
        <v>24.874685927665499</v>
      </c>
    </row>
    <row r="18" spans="1:5" x14ac:dyDescent="0.2">
      <c r="A18">
        <v>698</v>
      </c>
      <c r="C18" s="11" t="s">
        <v>5</v>
      </c>
      <c r="D18" s="4" t="s">
        <v>104</v>
      </c>
      <c r="E18" s="17">
        <f>E12-2*E17</f>
        <v>667.45062814466905</v>
      </c>
    </row>
    <row r="19" spans="1:5" x14ac:dyDescent="0.2">
      <c r="A19">
        <v>723</v>
      </c>
      <c r="C19" s="11"/>
      <c r="D19" s="4" t="s">
        <v>105</v>
      </c>
      <c r="E19" s="17">
        <f>E12+2*E17</f>
        <v>766.94937185533104</v>
      </c>
    </row>
    <row r="20" spans="1:5" x14ac:dyDescent="0.2">
      <c r="A20">
        <v>743</v>
      </c>
    </row>
    <row r="21" spans="1:5" x14ac:dyDescent="0.2">
      <c r="A21">
        <v>738</v>
      </c>
    </row>
    <row r="22" spans="1:5" x14ac:dyDescent="0.2">
      <c r="A22">
        <v>722</v>
      </c>
      <c r="D22" s="32" t="s">
        <v>109</v>
      </c>
      <c r="E22" s="45">
        <f>E17/E12</f>
        <v>3.4683053440693667E-2</v>
      </c>
    </row>
    <row r="23" spans="1:5" x14ac:dyDescent="0.2">
      <c r="A23">
        <v>696</v>
      </c>
    </row>
    <row r="24" spans="1:5" x14ac:dyDescent="0.2">
      <c r="A24">
        <v>721</v>
      </c>
    </row>
    <row r="25" spans="1:5" x14ac:dyDescent="0.2">
      <c r="A25">
        <v>685</v>
      </c>
    </row>
    <row r="26" spans="1:5" x14ac:dyDescent="0.2">
      <c r="A26">
        <v>763</v>
      </c>
    </row>
    <row r="27" spans="1:5" x14ac:dyDescent="0.2">
      <c r="A27">
        <v>681</v>
      </c>
    </row>
    <row r="28" spans="1:5" x14ac:dyDescent="0.2">
      <c r="A28">
        <v>731</v>
      </c>
    </row>
    <row r="29" spans="1:5" x14ac:dyDescent="0.2">
      <c r="A29">
        <v>736</v>
      </c>
    </row>
    <row r="30" spans="1:5" x14ac:dyDescent="0.2">
      <c r="A30">
        <v>771</v>
      </c>
    </row>
    <row r="31" spans="1:5" x14ac:dyDescent="0.2">
      <c r="A31">
        <v>693</v>
      </c>
    </row>
    <row r="32" spans="1:5" x14ac:dyDescent="0.2">
      <c r="A32">
        <v>701</v>
      </c>
    </row>
    <row r="33" spans="1:1" x14ac:dyDescent="0.2">
      <c r="A33">
        <v>737</v>
      </c>
    </row>
    <row r="34" spans="1:1" x14ac:dyDescent="0.2">
      <c r="A34">
        <v>717</v>
      </c>
    </row>
    <row r="35" spans="1:1" x14ac:dyDescent="0.2">
      <c r="A35">
        <v>752</v>
      </c>
    </row>
    <row r="36" spans="1:1" x14ac:dyDescent="0.2">
      <c r="A36">
        <v>710</v>
      </c>
    </row>
    <row r="37" spans="1:1" x14ac:dyDescent="0.2">
      <c r="A37">
        <v>697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3.11</vt:lpstr>
      <vt:lpstr>3.15</vt:lpstr>
      <vt:lpstr>3.19</vt:lpstr>
      <vt:lpstr>3.21</vt:lpstr>
      <vt:lpstr>3.23</vt:lpstr>
      <vt:lpstr>3.25</vt:lpstr>
      <vt:lpstr>3.31</vt:lpstr>
      <vt:lpstr>3.39</vt:lpstr>
      <vt:lpstr>3.45</vt:lpstr>
      <vt:lpstr>3.51</vt:lpstr>
      <vt:lpstr>3.55</vt:lpstr>
      <vt:lpstr>3.75</vt:lpstr>
      <vt:lpstr>3.77</vt:lpstr>
      <vt:lpstr>3.81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Eric</cp:lastModifiedBy>
  <dcterms:created xsi:type="dcterms:W3CDTF">2020-08-29T01:28:22Z</dcterms:created>
  <dcterms:modified xsi:type="dcterms:W3CDTF">2020-09-17T02:46:33Z</dcterms:modified>
</cp:coreProperties>
</file>