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E:\MS IS Fall 2020\IS 601\Homework\"/>
    </mc:Choice>
  </mc:AlternateContent>
  <xr:revisionPtr revIDLastSave="0" documentId="13_ncr:1_{24B03660-426E-4E5D-B09C-1918E2B48209}" xr6:coauthVersionLast="45" xr6:coauthVersionMax="45" xr10:uidLastSave="{00000000-0000-0000-0000-000000000000}"/>
  <bookViews>
    <workbookView xWindow="-120" yWindow="-120" windowWidth="29040" windowHeight="15840" tabRatio="703" activeTab="6" xr2:uid="{9CAC1E16-FA60-4465-B857-0B92E6F54B68}"/>
  </bookViews>
  <sheets>
    <sheet name="4.5" sheetId="30" r:id="rId1"/>
    <sheet name="4.9" sheetId="31" r:id="rId2"/>
    <sheet name="4.13" sheetId="32" r:id="rId3"/>
    <sheet name="4.15" sheetId="33" r:id="rId4"/>
    <sheet name="4.25" sheetId="34" r:id="rId5"/>
    <sheet name="4.29" sheetId="35" r:id="rId6"/>
    <sheet name="4.31" sheetId="36" r:id="rId7"/>
    <sheet name="Median Household Income by Stat" sheetId="37" r:id="rId8"/>
  </sheets>
  <definedNames>
    <definedName name="_xlnm._FilterDatabase" localSheetId="5" hidden="1">'4.29'!$A$20:$A$136</definedName>
    <definedName name="_xlchart.v1.0" hidden="1">'4.25'!$A$24</definedName>
    <definedName name="_xlchart.v1.1" hidden="1">'4.25'!$A$25:$A$36</definedName>
    <definedName name="_xlchart.v1.2" hidden="1">'4.25'!$B$24</definedName>
    <definedName name="_xlchart.v1.3" hidden="1">'4.25'!$B$25:$B$36</definedName>
    <definedName name="_xlchart.v1.4" hidden="1">'4.29'!$C$20</definedName>
    <definedName name="_xlchart.v1.5" hidden="1">'4.29'!$C$21:$C$53</definedName>
    <definedName name="_xlchart.v1.6" hidden="1">'4.29'!$B$20</definedName>
    <definedName name="_xlchart.v1.7" hidden="1">'4.29'!$B$21:$B$53</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37" l="1"/>
  <c r="D18" i="33"/>
  <c r="D19" i="33"/>
  <c r="D4" i="37"/>
  <c r="D5" i="37"/>
  <c r="D6" i="37"/>
  <c r="D7" i="37"/>
  <c r="D8" i="37"/>
  <c r="D9" i="37"/>
  <c r="D10" i="37"/>
  <c r="D11" i="37"/>
  <c r="D12" i="37"/>
  <c r="D13" i="37"/>
  <c r="D14" i="37"/>
  <c r="D15" i="37"/>
  <c r="D16" i="37"/>
  <c r="D17" i="37"/>
  <c r="D18" i="37"/>
  <c r="D19" i="37"/>
  <c r="D20" i="37"/>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3" i="37"/>
  <c r="G11" i="37"/>
  <c r="G10" i="37"/>
  <c r="G9" i="37"/>
  <c r="G8" i="37"/>
  <c r="G4" i="37"/>
  <c r="G3" i="37"/>
  <c r="G2" i="37"/>
  <c r="H25" i="34"/>
  <c r="G25" i="34"/>
  <c r="G5" i="37" l="1"/>
  <c r="E16" i="36"/>
  <c r="E12" i="36"/>
  <c r="E11" i="36"/>
  <c r="E10" i="36"/>
  <c r="N47" i="35"/>
  <c r="R47" i="35"/>
  <c r="E15" i="36" l="1"/>
  <c r="H26" i="34"/>
  <c r="H27" i="34"/>
  <c r="H28" i="34"/>
  <c r="H29" i="34"/>
  <c r="G26" i="34"/>
  <c r="G27" i="34"/>
  <c r="G28" i="34"/>
  <c r="G29" i="34"/>
  <c r="E17" i="33"/>
  <c r="E16" i="33"/>
  <c r="E15" i="33"/>
  <c r="D18" i="32" l="1"/>
  <c r="E16" i="32"/>
  <c r="E15" i="32"/>
  <c r="E14" i="32"/>
  <c r="D17" i="32" s="1"/>
  <c r="F8" i="30"/>
  <c r="F12" i="30"/>
  <c r="F9" i="30"/>
  <c r="B19" i="31"/>
  <c r="F10" i="30"/>
  <c r="F11" i="30"/>
  <c r="C3" i="37" l="1"/>
  <c r="C4" i="37"/>
  <c r="C5" i="37" s="1"/>
  <c r="C6" i="37" s="1"/>
  <c r="C7" i="37" s="1"/>
  <c r="C8" i="37" s="1"/>
  <c r="C9" i="37" s="1"/>
  <c r="C10" i="37" s="1"/>
  <c r="C11" i="37" s="1"/>
  <c r="C12" i="37" s="1"/>
  <c r="C13" i="37" s="1"/>
  <c r="C14" i="37" s="1"/>
  <c r="C15" i="37" s="1"/>
  <c r="C16" i="37" s="1"/>
  <c r="C17" i="37" s="1"/>
  <c r="C18" i="37" s="1"/>
  <c r="C19" i="37" s="1"/>
  <c r="C20" i="37" s="1"/>
  <c r="C21" i="37" s="1"/>
  <c r="C22" i="37" s="1"/>
  <c r="C23" i="37" s="1"/>
  <c r="C24" i="37" s="1"/>
  <c r="C25" i="37" s="1"/>
  <c r="C26" i="37" s="1"/>
  <c r="C27" i="37" s="1"/>
  <c r="C28" i="37" s="1"/>
  <c r="C29" i="37" s="1"/>
  <c r="C30" i="37" s="1"/>
  <c r="C31" i="37" s="1"/>
  <c r="C32" i="37" s="1"/>
  <c r="C33" i="37" s="1"/>
  <c r="C34" i="37" s="1"/>
  <c r="C35" i="37" s="1"/>
  <c r="C36" i="37" s="1"/>
  <c r="C37" i="37" s="1"/>
  <c r="C38" i="37" s="1"/>
  <c r="C39" i="37" s="1"/>
  <c r="C40" i="37" s="1"/>
  <c r="C41" i="37" s="1"/>
  <c r="C42" i="37" s="1"/>
  <c r="C43" i="37" s="1"/>
  <c r="C44" i="37" s="1"/>
  <c r="C45" i="37" s="1"/>
  <c r="C46" i="37" s="1"/>
  <c r="C47" i="37" s="1"/>
  <c r="C48" i="37" s="1"/>
  <c r="C49" i="37" s="1"/>
  <c r="C50" i="37" s="1"/>
  <c r="C51" i="37" s="1"/>
  <c r="C52" i="37" s="1"/>
  <c r="C53" i="37" s="1"/>
  <c r="C54" i="37" s="1"/>
</calcChain>
</file>

<file path=xl/sharedStrings.xml><?xml version="1.0" encoding="utf-8"?>
<sst xmlns="http://schemas.openxmlformats.org/spreadsheetml/2006/main" count="222" uniqueCount="123">
  <si>
    <t>datapoints</t>
  </si>
  <si>
    <t>observation</t>
  </si>
  <si>
    <t>median</t>
  </si>
  <si>
    <t>d</t>
  </si>
  <si>
    <t>a</t>
  </si>
  <si>
    <t>b</t>
  </si>
  <si>
    <t>c</t>
  </si>
  <si>
    <t>e</t>
  </si>
  <si>
    <t>f</t>
  </si>
  <si>
    <t>positively skewed</t>
  </si>
  <si>
    <t>min_value</t>
  </si>
  <si>
    <t>first_quartile</t>
  </si>
  <si>
    <t>third_quartile</t>
  </si>
  <si>
    <t>I don't see any outliers</t>
  </si>
  <si>
    <t>mean</t>
  </si>
  <si>
    <t>std_dev</t>
  </si>
  <si>
    <t>salaries</t>
  </si>
  <si>
    <t>commissions</t>
  </si>
  <si>
    <t>public</t>
  </si>
  <si>
    <t>private</t>
  </si>
  <si>
    <t>min</t>
  </si>
  <si>
    <t>first</t>
  </si>
  <si>
    <t>max</t>
  </si>
  <si>
    <t>Quartiles</t>
  </si>
  <si>
    <t>third</t>
  </si>
  <si>
    <t>Public transport appears to have a wider variariability to it but in general seems to result in shorter commute times.
Private transport, while more consistent seems to take longer.
Our data for public transport is positively skewed while private transport data is negatively skewed.</t>
  </si>
  <si>
    <t>Size (carats)</t>
  </si>
  <si>
    <t>Price</t>
  </si>
  <si>
    <t>Cut Grade</t>
  </si>
  <si>
    <t>Princess</t>
  </si>
  <si>
    <t>Ideal cut</t>
  </si>
  <si>
    <t>Round</t>
  </si>
  <si>
    <t>Premium cut</t>
  </si>
  <si>
    <t>Ultra ideal cut</t>
  </si>
  <si>
    <t>Average cut</t>
  </si>
  <si>
    <t>Emerald</t>
  </si>
  <si>
    <t>Marquise</t>
  </si>
  <si>
    <t>Good cut</t>
  </si>
  <si>
    <t>Oval</t>
  </si>
  <si>
    <t>Shape</t>
  </si>
  <si>
    <t>Column Labels</t>
  </si>
  <si>
    <t>Grand Total</t>
  </si>
  <si>
    <t>Row Labels</t>
  </si>
  <si>
    <t>Outliers</t>
  </si>
  <si>
    <t>Yes</t>
  </si>
  <si>
    <t>Median</t>
  </si>
  <si>
    <t>First</t>
  </si>
  <si>
    <t>Third</t>
  </si>
  <si>
    <t>There is a direct association between price and size.</t>
  </si>
  <si>
    <t>Count of Size (carats)</t>
  </si>
  <si>
    <t>Most common</t>
  </si>
  <si>
    <t>cut</t>
  </si>
  <si>
    <t>Premium</t>
  </si>
  <si>
    <t>shape</t>
  </si>
  <si>
    <t>combo</t>
  </si>
  <si>
    <t>Round Premium</t>
  </si>
  <si>
    <t>car_thefts</t>
  </si>
  <si>
    <t>Pearsons</t>
  </si>
  <si>
    <t>Coefficient of Skewness</t>
  </si>
  <si>
    <t>Excel</t>
  </si>
  <si>
    <t>State</t>
  </si>
  <si>
    <t>Income</t>
  </si>
  <si>
    <t>Alabama</t>
  </si>
  <si>
    <t>Montana</t>
  </si>
  <si>
    <t>std dev</t>
  </si>
  <si>
    <t>Alaska</t>
  </si>
  <si>
    <t>Nebraska</t>
  </si>
  <si>
    <t>Arizona</t>
  </si>
  <si>
    <t>Nevada</t>
  </si>
  <si>
    <t>CV</t>
  </si>
  <si>
    <t>Arkansas</t>
  </si>
  <si>
    <t>New Hampshire</t>
  </si>
  <si>
    <t>California</t>
  </si>
  <si>
    <t>New Jersey</t>
  </si>
  <si>
    <t>Colorado</t>
  </si>
  <si>
    <t>New Mexico</t>
  </si>
  <si>
    <t>observations</t>
  </si>
  <si>
    <t>Connecticut</t>
  </si>
  <si>
    <t>New York</t>
  </si>
  <si>
    <t>1st Q</t>
  </si>
  <si>
    <t>Delaware</t>
  </si>
  <si>
    <t>North Carolina</t>
  </si>
  <si>
    <t>3rd Q</t>
  </si>
  <si>
    <t>District of Columbia</t>
  </si>
  <si>
    <t>North Dakota</t>
  </si>
  <si>
    <t>33% Percentile</t>
  </si>
  <si>
    <t>Florida</t>
  </si>
  <si>
    <t>Ohio</t>
  </si>
  <si>
    <t>Georgia</t>
  </si>
  <si>
    <t>Oklahoma</t>
  </si>
  <si>
    <t>Hawaii</t>
  </si>
  <si>
    <t>Oregon</t>
  </si>
  <si>
    <t>Idaho</t>
  </si>
  <si>
    <t>Pennsylvania</t>
  </si>
  <si>
    <t>Illinois</t>
  </si>
  <si>
    <t>Puerto Rico</t>
  </si>
  <si>
    <t>Indiana</t>
  </si>
  <si>
    <t>Rhode Island</t>
  </si>
  <si>
    <t>Iowa</t>
  </si>
  <si>
    <t>South Carolina</t>
  </si>
  <si>
    <t>Kansas</t>
  </si>
  <si>
    <t>South Dakota</t>
  </si>
  <si>
    <t>Kentucky</t>
  </si>
  <si>
    <t>Tennessee</t>
  </si>
  <si>
    <t>Louisiana</t>
  </si>
  <si>
    <t>Texas</t>
  </si>
  <si>
    <t>Maine</t>
  </si>
  <si>
    <t>Utah</t>
  </si>
  <si>
    <t>Maryland</t>
  </si>
  <si>
    <t>Vermont</t>
  </si>
  <si>
    <t>Massachusetts</t>
  </si>
  <si>
    <t>Virginia</t>
  </si>
  <si>
    <t>Michigan</t>
  </si>
  <si>
    <t>Washington</t>
  </si>
  <si>
    <t>Minnesota</t>
  </si>
  <si>
    <t>West Virginia</t>
  </si>
  <si>
    <t>Mississippi</t>
  </si>
  <si>
    <t>Wisconsin</t>
  </si>
  <si>
    <t>Missouri</t>
  </si>
  <si>
    <t>Wyoming</t>
  </si>
  <si>
    <t>Z Score</t>
  </si>
  <si>
    <t>C of Skew</t>
  </si>
  <si>
    <t>Median Household Income by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</si>
</sst>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164" formatCode="0.0"/>
    <numFmt numFmtId="165" formatCode="0.000"/>
    <numFmt numFmtId="166" formatCode="_(&quot;$&quot;* #,##0_);_(&quot;$&quot;* \(#,##0\);_(&quot;$&quot;* &quot;-&quot;??_);_(@_)"/>
    <numFmt numFmtId="167" formatCode="&quot;$&quot;#,##0"/>
    <numFmt numFmtId="168" formatCode="0.0000"/>
  </numFmts>
  <fonts count="5" x14ac:knownFonts="1">
    <font>
      <sz val="9"/>
      <color theme="1"/>
      <name val="Arial"/>
      <family val="2"/>
    </font>
    <font>
      <sz val="9"/>
      <color theme="1"/>
      <name val="Arial"/>
      <family val="2"/>
    </font>
    <font>
      <b/>
      <sz val="9"/>
      <color theme="1"/>
      <name val="Arial"/>
      <family val="2"/>
    </font>
    <font>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0" fontId="3" fillId="0" borderId="0"/>
    <xf numFmtId="44" fontId="3" fillId="0" borderId="0" applyFont="0" applyFill="0" applyBorder="0" applyAlignment="0" applyProtection="0"/>
  </cellStyleXfs>
  <cellXfs count="33">
    <xf numFmtId="0" fontId="0" fillId="0" borderId="0" xfId="0"/>
    <xf numFmtId="0" fontId="0" fillId="0" borderId="0" xfId="0" applyAlignment="1">
      <alignment horizontal="right"/>
    </xf>
    <xf numFmtId="0" fontId="0" fillId="0" borderId="0" xfId="0" applyAlignment="1">
      <alignment horizontal="left"/>
    </xf>
    <xf numFmtId="0" fontId="2" fillId="0" borderId="0" xfId="0" applyFont="1"/>
    <xf numFmtId="0" fontId="2" fillId="2" borderId="0" xfId="0" applyFont="1" applyFill="1"/>
    <xf numFmtId="0" fontId="0" fillId="2" borderId="0" xfId="0" applyFill="1" applyAlignment="1">
      <alignment horizontal="left"/>
    </xf>
    <xf numFmtId="164" fontId="0" fillId="0" borderId="0" xfId="0" applyNumberFormat="1"/>
    <xf numFmtId="0" fontId="0" fillId="2" borderId="0" xfId="0" applyFill="1"/>
    <xf numFmtId="164" fontId="0" fillId="2" borderId="0" xfId="0" applyNumberFormat="1" applyFill="1"/>
    <xf numFmtId="165" fontId="0" fillId="2" borderId="0" xfId="0" applyNumberFormat="1" applyFill="1"/>
    <xf numFmtId="165" fontId="0" fillId="2" borderId="0" xfId="0" applyNumberFormat="1" applyFill="1" applyAlignment="1">
      <alignment horizontal="left"/>
    </xf>
    <xf numFmtId="0" fontId="0" fillId="0" borderId="0" xfId="0" applyAlignment="1">
      <alignment horizontal="center"/>
    </xf>
    <xf numFmtId="0" fontId="2" fillId="0" borderId="0" xfId="0" applyFont="1" applyAlignment="1">
      <alignment horizontal="center"/>
    </xf>
    <xf numFmtId="0" fontId="0" fillId="2" borderId="0" xfId="0" applyFill="1" applyAlignment="1">
      <alignment horizontal="center"/>
    </xf>
    <xf numFmtId="0" fontId="2" fillId="2" borderId="0" xfId="0" applyFont="1" applyFill="1" applyAlignment="1">
      <alignment horizontal="center"/>
    </xf>
    <xf numFmtId="0" fontId="0" fillId="0" borderId="0" xfId="0" applyAlignment="1">
      <alignment horizontal="center" wrapText="1"/>
    </xf>
    <xf numFmtId="3" fontId="0" fillId="0" borderId="0" xfId="0" applyNumberFormat="1"/>
    <xf numFmtId="0" fontId="0" fillId="0" borderId="0" xfId="0" pivotButton="1"/>
    <xf numFmtId="0" fontId="2" fillId="0" borderId="0" xfId="0" applyFont="1" applyAlignment="1">
      <alignment horizontal="center" wrapText="1"/>
    </xf>
    <xf numFmtId="2" fontId="0" fillId="0" borderId="0" xfId="0" applyNumberFormat="1" applyAlignment="1">
      <alignment horizontal="center"/>
    </xf>
    <xf numFmtId="167" fontId="0" fillId="0" borderId="0" xfId="1" applyNumberFormat="1" applyFont="1" applyAlignment="1">
      <alignment horizontal="center"/>
    </xf>
    <xf numFmtId="166" fontId="0" fillId="0" borderId="0" xfId="1" applyNumberFormat="1" applyFont="1" applyAlignment="1">
      <alignment horizontal="center"/>
    </xf>
    <xf numFmtId="0" fontId="0" fillId="0" borderId="0" xfId="0" pivotButton="1" applyAlignment="1">
      <alignment wrapText="1"/>
    </xf>
    <xf numFmtId="0" fontId="0" fillId="0" borderId="0" xfId="0" applyNumberFormat="1" applyAlignment="1">
      <alignment horizontal="center"/>
    </xf>
    <xf numFmtId="0" fontId="2" fillId="0" borderId="0" xfId="0" applyFont="1" applyAlignment="1">
      <alignment horizontal="right"/>
    </xf>
    <xf numFmtId="0" fontId="0" fillId="0" borderId="0" xfId="0" applyFill="1"/>
    <xf numFmtId="164" fontId="0" fillId="0" borderId="0" xfId="0" applyNumberFormat="1" applyFill="1"/>
    <xf numFmtId="0" fontId="0" fillId="2" borderId="0" xfId="0" applyFill="1" applyAlignment="1">
      <alignment horizontal="right"/>
    </xf>
    <xf numFmtId="0" fontId="0" fillId="2" borderId="0" xfId="0" applyFill="1" applyAlignment="1">
      <alignment horizontal="left" vertical="top" wrapText="1"/>
    </xf>
    <xf numFmtId="0" fontId="4" fillId="0" borderId="0" xfId="2" applyFont="1"/>
    <xf numFmtId="44" fontId="4" fillId="0" borderId="0" xfId="3" applyFont="1"/>
    <xf numFmtId="6" fontId="4" fillId="0" borderId="0" xfId="2" applyNumberFormat="1" applyFont="1"/>
    <xf numFmtId="168" fontId="4" fillId="0" borderId="0" xfId="2" applyNumberFormat="1" applyFont="1"/>
  </cellXfs>
  <cellStyles count="4">
    <cellStyle name="Currency" xfId="1" builtinId="4"/>
    <cellStyle name="Currency 2" xfId="3" xr:uid="{26A252B0-0A53-4126-A37F-BED027FDA1E8}"/>
    <cellStyle name="Normal" xfId="0" builtinId="0"/>
    <cellStyle name="Normal 2" xfId="2" xr:uid="{EB174EC1-6611-4450-BB09-B4C58FBBC9EA}"/>
  </cellStyles>
  <dxfs count="6">
    <dxf>
      <alignment horizontal="center"/>
    </dxf>
    <dxf>
      <alignment horizontal="center"/>
    </dxf>
    <dxf>
      <alignment horizontal="center"/>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'4.29'!$C$20</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'4.29'!$B$21:$B$53</c:f>
              <c:numCache>
                <c:formatCode>0.00</c:formatCode>
                <c:ptCount val="33"/>
                <c:pt idx="0">
                  <c:v>5.03</c:v>
                </c:pt>
                <c:pt idx="1">
                  <c:v>2.35</c:v>
                </c:pt>
                <c:pt idx="2">
                  <c:v>2.0299999999999998</c:v>
                </c:pt>
                <c:pt idx="3">
                  <c:v>1.56</c:v>
                </c:pt>
                <c:pt idx="4">
                  <c:v>1.21</c:v>
                </c:pt>
                <c:pt idx="5">
                  <c:v>1.21</c:v>
                </c:pt>
                <c:pt idx="6">
                  <c:v>1.19</c:v>
                </c:pt>
                <c:pt idx="7">
                  <c:v>1.1599999999999999</c:v>
                </c:pt>
                <c:pt idx="8">
                  <c:v>1.08</c:v>
                </c:pt>
                <c:pt idx="9">
                  <c:v>1.02</c:v>
                </c:pt>
                <c:pt idx="10">
                  <c:v>1.02</c:v>
                </c:pt>
                <c:pt idx="11">
                  <c:v>1.01</c:v>
                </c:pt>
                <c:pt idx="12">
                  <c:v>1</c:v>
                </c:pt>
                <c:pt idx="13">
                  <c:v>0.91</c:v>
                </c:pt>
                <c:pt idx="14">
                  <c:v>0.9</c:v>
                </c:pt>
                <c:pt idx="15">
                  <c:v>0.9</c:v>
                </c:pt>
                <c:pt idx="16">
                  <c:v>0.84</c:v>
                </c:pt>
                <c:pt idx="17">
                  <c:v>0.77</c:v>
                </c:pt>
                <c:pt idx="18">
                  <c:v>0.76</c:v>
                </c:pt>
                <c:pt idx="19">
                  <c:v>0.71</c:v>
                </c:pt>
                <c:pt idx="20">
                  <c:v>0.71</c:v>
                </c:pt>
                <c:pt idx="21">
                  <c:v>0.7</c:v>
                </c:pt>
                <c:pt idx="22">
                  <c:v>0.66</c:v>
                </c:pt>
                <c:pt idx="23">
                  <c:v>0.62</c:v>
                </c:pt>
                <c:pt idx="24">
                  <c:v>0.52</c:v>
                </c:pt>
                <c:pt idx="25">
                  <c:v>0.51</c:v>
                </c:pt>
                <c:pt idx="26">
                  <c:v>0.51</c:v>
                </c:pt>
                <c:pt idx="27">
                  <c:v>0.45</c:v>
                </c:pt>
                <c:pt idx="28">
                  <c:v>0.44</c:v>
                </c:pt>
                <c:pt idx="29">
                  <c:v>0.44</c:v>
                </c:pt>
                <c:pt idx="30">
                  <c:v>0.4</c:v>
                </c:pt>
                <c:pt idx="31">
                  <c:v>0.35</c:v>
                </c:pt>
                <c:pt idx="32">
                  <c:v>0.32</c:v>
                </c:pt>
              </c:numCache>
            </c:numRef>
          </c:xVal>
          <c:yVal>
            <c:numRef>
              <c:f>'4.29'!$C$21:$C$53</c:f>
              <c:numCache>
                <c:formatCode>"$"#,##0</c:formatCode>
                <c:ptCount val="33"/>
                <c:pt idx="0">
                  <c:v>44312</c:v>
                </c:pt>
                <c:pt idx="1">
                  <c:v>20413</c:v>
                </c:pt>
                <c:pt idx="2">
                  <c:v>13080</c:v>
                </c:pt>
                <c:pt idx="3">
                  <c:v>13925</c:v>
                </c:pt>
                <c:pt idx="4">
                  <c:v>7382</c:v>
                </c:pt>
                <c:pt idx="5">
                  <c:v>5154</c:v>
                </c:pt>
                <c:pt idx="6">
                  <c:v>5339</c:v>
                </c:pt>
                <c:pt idx="7">
                  <c:v>5161</c:v>
                </c:pt>
                <c:pt idx="8">
                  <c:v>8775</c:v>
                </c:pt>
                <c:pt idx="9">
                  <c:v>4282</c:v>
                </c:pt>
                <c:pt idx="10">
                  <c:v>6943</c:v>
                </c:pt>
                <c:pt idx="11">
                  <c:v>7038</c:v>
                </c:pt>
                <c:pt idx="12">
                  <c:v>4868</c:v>
                </c:pt>
                <c:pt idx="13">
                  <c:v>5106</c:v>
                </c:pt>
                <c:pt idx="14">
                  <c:v>3921</c:v>
                </c:pt>
                <c:pt idx="15">
                  <c:v>3733</c:v>
                </c:pt>
                <c:pt idx="16">
                  <c:v>2621</c:v>
                </c:pt>
                <c:pt idx="17">
                  <c:v>2828</c:v>
                </c:pt>
                <c:pt idx="18">
                  <c:v>3808</c:v>
                </c:pt>
                <c:pt idx="19">
                  <c:v>2327</c:v>
                </c:pt>
                <c:pt idx="20">
                  <c:v>2732</c:v>
                </c:pt>
                <c:pt idx="21">
                  <c:v>1915</c:v>
                </c:pt>
                <c:pt idx="22">
                  <c:v>1885</c:v>
                </c:pt>
                <c:pt idx="23">
                  <c:v>1397</c:v>
                </c:pt>
                <c:pt idx="24">
                  <c:v>2555</c:v>
                </c:pt>
                <c:pt idx="25">
                  <c:v>1337</c:v>
                </c:pt>
                <c:pt idx="26">
                  <c:v>1558</c:v>
                </c:pt>
                <c:pt idx="27">
                  <c:v>1191</c:v>
                </c:pt>
                <c:pt idx="28">
                  <c:v>1319</c:v>
                </c:pt>
                <c:pt idx="29">
                  <c:v>1319</c:v>
                </c:pt>
                <c:pt idx="30">
                  <c:v>1133</c:v>
                </c:pt>
                <c:pt idx="31">
                  <c:v>1354</c:v>
                </c:pt>
                <c:pt idx="32">
                  <c:v>896</c:v>
                </c:pt>
              </c:numCache>
            </c:numRef>
          </c:yVal>
          <c:smooth val="0"/>
          <c:extLst>
            <c:ext xmlns:c16="http://schemas.microsoft.com/office/drawing/2014/chart" uri="{C3380CC4-5D6E-409C-BE32-E72D297353CC}">
              <c16:uniqueId val="{00000000-6905-4EA1-A3D6-2CD2CB02E3E7}"/>
            </c:ext>
          </c:extLst>
        </c:ser>
        <c:dLbls>
          <c:showLegendKey val="0"/>
          <c:showVal val="0"/>
          <c:showCatName val="0"/>
          <c:showSerName val="0"/>
          <c:showPercent val="0"/>
          <c:showBubbleSize val="0"/>
        </c:dLbls>
        <c:axId val="646381568"/>
        <c:axId val="646384848"/>
      </c:scatterChart>
      <c:valAx>
        <c:axId val="64638156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Size (carats)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84848"/>
        <c:crosses val="autoZero"/>
        <c:crossBetween val="midCat"/>
      </c:valAx>
      <c:valAx>
        <c:axId val="6463848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381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plotArea>
      <cx:plotAreaRegion>
        <cx:series layoutId="boxWhisker" uniqueId="{4C46FD22-3424-47AB-898E-F63B829DDFC2}">
          <cx:tx>
            <cx:txData>
              <cx:f>_xlchart.v1.0</cx:f>
              <cx:v>public</cx:v>
            </cx:txData>
          </cx:tx>
          <cx:dataId val="0"/>
          <cx:layoutPr>
            <cx:statistics quartileMethod="exclusive"/>
          </cx:layoutPr>
        </cx:series>
        <cx:series layoutId="boxWhisker" uniqueId="{3270B248-DB38-4B0F-97C3-026F0E5C74DF}">
          <cx:tx>
            <cx:txData>
              <cx:f>_xlchart.v1.2</cx:f>
              <cx:v>private</cx:v>
            </cx:txData>
          </cx:tx>
          <cx:dataId val="1"/>
          <cx:layoutPr>
            <cx:statistics quartileMethod="exclusive"/>
          </cx:layoutPr>
        </cx:series>
      </cx:plotAreaRegion>
      <cx:axis id="0" hidden="1">
        <cx:catScaling gapWidth="0.699999988"/>
        <cx:tickLabels/>
      </cx:axis>
      <cx:axis id="1">
        <cx:valScaling min="15"/>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Price</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Calibri" panose="020F0502020204030204"/>
            </a:rPr>
            <a:t>Price</a:t>
          </a:r>
        </a:p>
      </cx:txPr>
    </cx:title>
    <cx:plotArea>
      <cx:plotAreaRegion>
        <cx:series layoutId="boxWhisker" uniqueId="{09E9362C-18E5-4B2B-9B7F-71AAC583C2E5}">
          <cx:tx>
            <cx:txData>
              <cx:f>_xlchart.v1.4</cx:f>
              <cx:v>Price</cx:v>
            </cx:txData>
          </cx:tx>
          <cx:dataLabels pos="r">
            <cx:visibility seriesName="0" categoryName="0" value="1"/>
          </cx:dataLabels>
          <cx:dataId val="0"/>
          <cx:layoutPr>
            <cx:visibility meanLine="0" meanMarker="1" nonoutliers="0"/>
            <cx:statistics quartileMethod="exclusive"/>
          </cx:layoutPr>
        </cx:series>
      </cx:plotAreaRegion>
      <cx:axis id="0" hidden="1">
        <cx:catScaling gapWidth="1.10000002"/>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txData>
          <cx:v>Size (carats)</cx:v>
        </cx:txData>
      </cx:tx>
      <cx:txPr>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latin typeface="Calibri" panose="020F0502020204030204"/>
            </a:rPr>
            <a:t>Size (carats)</a:t>
          </a:r>
        </a:p>
      </cx:txPr>
    </cx:title>
    <cx:plotArea>
      <cx:plotAreaRegion>
        <cx:series layoutId="boxWhisker" uniqueId="{3CDDE16B-B3D3-46AF-8E29-0152F4359A0F}">
          <cx:tx>
            <cx:txData>
              <cx:f>_xlchart.v1.6</cx:f>
              <cx:v>Size (carats)</cx:v>
            </cx:txData>
          </cx:tx>
          <cx:dataLabels pos="r">
            <cx:visibility seriesName="0" categoryName="0" value="1"/>
          </cx:dataLabels>
          <cx:dataId val="0"/>
          <cx:layoutPr>
            <cx:visibility meanMarker="1" nonoutliers="0"/>
            <cx:statistics quartileMethod="exclusive"/>
          </cx:layoutPr>
        </cx:series>
      </cx:plotAreaRegion>
      <cx:axis id="0" hidden="1">
        <cx:catScaling gapWidth="1.10000002"/>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chart" Target="../charts/chart1.xml"/><Relationship Id="rId4"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608603</xdr:colOff>
      <xdr:row>4</xdr:row>
      <xdr:rowOff>142781</xdr:rowOff>
    </xdr:to>
    <xdr:pic>
      <xdr:nvPicPr>
        <xdr:cNvPr id="2" name="Picture 1">
          <a:extLst>
            <a:ext uri="{FF2B5EF4-FFF2-40B4-BE49-F238E27FC236}">
              <a16:creationId xmlns:a16="http://schemas.microsoft.com/office/drawing/2014/main" id="{4B361AF6-9820-4B8D-B4D1-88BAC139865A}"/>
            </a:ext>
          </a:extLst>
        </xdr:cNvPr>
        <xdr:cNvPicPr>
          <a:picLocks noChangeAspect="1"/>
        </xdr:cNvPicPr>
      </xdr:nvPicPr>
      <xdr:blipFill>
        <a:blip xmlns:r="http://schemas.openxmlformats.org/officeDocument/2006/relationships" r:embed="rId1"/>
        <a:stretch>
          <a:fillRect/>
        </a:stretch>
      </xdr:blipFill>
      <xdr:spPr>
        <a:xfrm>
          <a:off x="0" y="0"/>
          <a:ext cx="7971428" cy="7523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8517</xdr:colOff>
      <xdr:row>14</xdr:row>
      <xdr:rowOff>133067</xdr:rowOff>
    </xdr:to>
    <xdr:pic>
      <xdr:nvPicPr>
        <xdr:cNvPr id="2" name="Picture 1">
          <a:extLst>
            <a:ext uri="{FF2B5EF4-FFF2-40B4-BE49-F238E27FC236}">
              <a16:creationId xmlns:a16="http://schemas.microsoft.com/office/drawing/2014/main" id="{A67E168B-DC4F-401E-8564-0ADB6033FD3B}"/>
            </a:ext>
          </a:extLst>
        </xdr:cNvPr>
        <xdr:cNvPicPr>
          <a:picLocks noChangeAspect="1"/>
        </xdr:cNvPicPr>
      </xdr:nvPicPr>
      <xdr:blipFill>
        <a:blip xmlns:r="http://schemas.openxmlformats.org/officeDocument/2006/relationships" r:embed="rId1"/>
        <a:stretch>
          <a:fillRect/>
        </a:stretch>
      </xdr:blipFill>
      <xdr:spPr>
        <a:xfrm>
          <a:off x="0" y="0"/>
          <a:ext cx="8066667" cy="22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523045</xdr:colOff>
      <xdr:row>5</xdr:row>
      <xdr:rowOff>76095</xdr:rowOff>
    </xdr:to>
    <xdr:pic>
      <xdr:nvPicPr>
        <xdr:cNvPr id="2" name="Picture 1">
          <a:extLst>
            <a:ext uri="{FF2B5EF4-FFF2-40B4-BE49-F238E27FC236}">
              <a16:creationId xmlns:a16="http://schemas.microsoft.com/office/drawing/2014/main" id="{CEA52228-7F79-4AC3-ADB7-644E9A8860FC}"/>
            </a:ext>
          </a:extLst>
        </xdr:cNvPr>
        <xdr:cNvPicPr>
          <a:picLocks noChangeAspect="1"/>
        </xdr:cNvPicPr>
      </xdr:nvPicPr>
      <xdr:blipFill>
        <a:blip xmlns:r="http://schemas.openxmlformats.org/officeDocument/2006/relationships" r:embed="rId1"/>
        <a:stretch>
          <a:fillRect/>
        </a:stretch>
      </xdr:blipFill>
      <xdr:spPr>
        <a:xfrm>
          <a:off x="0" y="0"/>
          <a:ext cx="6638095" cy="838095"/>
        </a:xfrm>
        <a:prstGeom prst="rect">
          <a:avLst/>
        </a:prstGeom>
      </xdr:spPr>
    </xdr:pic>
    <xdr:clientData/>
  </xdr:twoCellAnchor>
  <xdr:twoCellAnchor editAs="oneCell">
    <xdr:from>
      <xdr:col>0</xdr:col>
      <xdr:colOff>0</xdr:colOff>
      <xdr:row>6</xdr:row>
      <xdr:rowOff>0</xdr:rowOff>
    </xdr:from>
    <xdr:to>
      <xdr:col>8</xdr:col>
      <xdr:colOff>266131</xdr:colOff>
      <xdr:row>11</xdr:row>
      <xdr:rowOff>133238</xdr:rowOff>
    </xdr:to>
    <xdr:pic>
      <xdr:nvPicPr>
        <xdr:cNvPr id="3" name="Picture 2">
          <a:extLst>
            <a:ext uri="{FF2B5EF4-FFF2-40B4-BE49-F238E27FC236}">
              <a16:creationId xmlns:a16="http://schemas.microsoft.com/office/drawing/2014/main" id="{0B97A6A7-A19F-4E9F-8883-497120294835}"/>
            </a:ext>
          </a:extLst>
        </xdr:cNvPr>
        <xdr:cNvPicPr>
          <a:picLocks noChangeAspect="1"/>
        </xdr:cNvPicPr>
      </xdr:nvPicPr>
      <xdr:blipFill>
        <a:blip xmlns:r="http://schemas.openxmlformats.org/officeDocument/2006/relationships" r:embed="rId2"/>
        <a:stretch>
          <a:fillRect/>
        </a:stretch>
      </xdr:blipFill>
      <xdr:spPr>
        <a:xfrm>
          <a:off x="0" y="914400"/>
          <a:ext cx="4552381" cy="8952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151831</xdr:colOff>
      <xdr:row>5</xdr:row>
      <xdr:rowOff>133238</xdr:rowOff>
    </xdr:to>
    <xdr:pic>
      <xdr:nvPicPr>
        <xdr:cNvPr id="2" name="Picture 1">
          <a:extLst>
            <a:ext uri="{FF2B5EF4-FFF2-40B4-BE49-F238E27FC236}">
              <a16:creationId xmlns:a16="http://schemas.microsoft.com/office/drawing/2014/main" id="{192D83A5-3427-4A63-AAFC-771C5878841B}"/>
            </a:ext>
          </a:extLst>
        </xdr:cNvPr>
        <xdr:cNvPicPr>
          <a:picLocks noChangeAspect="1"/>
        </xdr:cNvPicPr>
      </xdr:nvPicPr>
      <xdr:blipFill>
        <a:blip xmlns:r="http://schemas.openxmlformats.org/officeDocument/2006/relationships" r:embed="rId1"/>
        <a:stretch>
          <a:fillRect/>
        </a:stretch>
      </xdr:blipFill>
      <xdr:spPr>
        <a:xfrm>
          <a:off x="0" y="0"/>
          <a:ext cx="4552381" cy="895238"/>
        </a:xfrm>
        <a:prstGeom prst="rect">
          <a:avLst/>
        </a:prstGeom>
      </xdr:spPr>
    </xdr:pic>
    <xdr:clientData/>
  </xdr:twoCellAnchor>
  <xdr:twoCellAnchor editAs="oneCell">
    <xdr:from>
      <xdr:col>0</xdr:col>
      <xdr:colOff>0</xdr:colOff>
      <xdr:row>6</xdr:row>
      <xdr:rowOff>0</xdr:rowOff>
    </xdr:from>
    <xdr:to>
      <xdr:col>11</xdr:col>
      <xdr:colOff>399221</xdr:colOff>
      <xdr:row>12</xdr:row>
      <xdr:rowOff>28457</xdr:rowOff>
    </xdr:to>
    <xdr:pic>
      <xdr:nvPicPr>
        <xdr:cNvPr id="3" name="Picture 2">
          <a:extLst>
            <a:ext uri="{FF2B5EF4-FFF2-40B4-BE49-F238E27FC236}">
              <a16:creationId xmlns:a16="http://schemas.microsoft.com/office/drawing/2014/main" id="{29EEEB95-935E-46D1-93A9-BEC61F3B2F40}"/>
            </a:ext>
          </a:extLst>
        </xdr:cNvPr>
        <xdr:cNvPicPr>
          <a:picLocks noChangeAspect="1"/>
        </xdr:cNvPicPr>
      </xdr:nvPicPr>
      <xdr:blipFill>
        <a:blip xmlns:r="http://schemas.openxmlformats.org/officeDocument/2006/relationships" r:embed="rId2"/>
        <a:stretch>
          <a:fillRect/>
        </a:stretch>
      </xdr:blipFill>
      <xdr:spPr>
        <a:xfrm>
          <a:off x="0" y="914400"/>
          <a:ext cx="6628571" cy="9428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113494</xdr:colOff>
      <xdr:row>21</xdr:row>
      <xdr:rowOff>142457</xdr:rowOff>
    </xdr:to>
    <xdr:pic>
      <xdr:nvPicPr>
        <xdr:cNvPr id="2" name="Picture 1">
          <a:extLst>
            <a:ext uri="{FF2B5EF4-FFF2-40B4-BE49-F238E27FC236}">
              <a16:creationId xmlns:a16="http://schemas.microsoft.com/office/drawing/2014/main" id="{5FC0EF58-C2AF-48FD-B0D3-E13B115FC23D}"/>
            </a:ext>
          </a:extLst>
        </xdr:cNvPr>
        <xdr:cNvPicPr>
          <a:picLocks noChangeAspect="1"/>
        </xdr:cNvPicPr>
      </xdr:nvPicPr>
      <xdr:blipFill>
        <a:blip xmlns:r="http://schemas.openxmlformats.org/officeDocument/2006/relationships" r:embed="rId1"/>
        <a:stretch>
          <a:fillRect/>
        </a:stretch>
      </xdr:blipFill>
      <xdr:spPr>
        <a:xfrm>
          <a:off x="0" y="0"/>
          <a:ext cx="6447619" cy="3342857"/>
        </a:xfrm>
        <a:prstGeom prst="rect">
          <a:avLst/>
        </a:prstGeom>
      </xdr:spPr>
    </xdr:pic>
    <xdr:clientData/>
  </xdr:twoCellAnchor>
  <xdr:twoCellAnchor>
    <xdr:from>
      <xdr:col>13</xdr:col>
      <xdr:colOff>0</xdr:colOff>
      <xdr:row>0</xdr:row>
      <xdr:rowOff>0</xdr:rowOff>
    </xdr:from>
    <xdr:to>
      <xdr:col>17</xdr:col>
      <xdr:colOff>0</xdr:colOff>
      <xdr:row>36</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EADB4AC-CF02-468F-AF6B-0477999879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943725" y="0"/>
              <a:ext cx="2438400" cy="5486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56344</xdr:colOff>
      <xdr:row>5</xdr:row>
      <xdr:rowOff>47524</xdr:rowOff>
    </xdr:to>
    <xdr:pic>
      <xdr:nvPicPr>
        <xdr:cNvPr id="2" name="Picture 1">
          <a:extLst>
            <a:ext uri="{FF2B5EF4-FFF2-40B4-BE49-F238E27FC236}">
              <a16:creationId xmlns:a16="http://schemas.microsoft.com/office/drawing/2014/main" id="{4FAE52D3-4E2B-49A0-B5C1-0911C75493B6}"/>
            </a:ext>
          </a:extLst>
        </xdr:cNvPr>
        <xdr:cNvPicPr>
          <a:picLocks noChangeAspect="1"/>
        </xdr:cNvPicPr>
      </xdr:nvPicPr>
      <xdr:blipFill>
        <a:blip xmlns:r="http://schemas.openxmlformats.org/officeDocument/2006/relationships" r:embed="rId1"/>
        <a:stretch>
          <a:fillRect/>
        </a:stretch>
      </xdr:blipFill>
      <xdr:spPr>
        <a:xfrm>
          <a:off x="0" y="0"/>
          <a:ext cx="6447619" cy="809524"/>
        </a:xfrm>
        <a:prstGeom prst="rect">
          <a:avLst/>
        </a:prstGeom>
      </xdr:spPr>
    </xdr:pic>
    <xdr:clientData/>
  </xdr:twoCellAnchor>
  <xdr:twoCellAnchor editAs="oneCell">
    <xdr:from>
      <xdr:col>0</xdr:col>
      <xdr:colOff>0</xdr:colOff>
      <xdr:row>5</xdr:row>
      <xdr:rowOff>38343</xdr:rowOff>
    </xdr:from>
    <xdr:to>
      <xdr:col>9</xdr:col>
      <xdr:colOff>484992</xdr:colOff>
      <xdr:row>18</xdr:row>
      <xdr:rowOff>0</xdr:rowOff>
    </xdr:to>
    <xdr:pic>
      <xdr:nvPicPr>
        <xdr:cNvPr id="3" name="Picture 2">
          <a:extLst>
            <a:ext uri="{FF2B5EF4-FFF2-40B4-BE49-F238E27FC236}">
              <a16:creationId xmlns:a16="http://schemas.microsoft.com/office/drawing/2014/main" id="{514FB1FD-5203-4041-9F00-19E2682C279D}"/>
            </a:ext>
          </a:extLst>
        </xdr:cNvPr>
        <xdr:cNvPicPr>
          <a:picLocks noChangeAspect="1"/>
        </xdr:cNvPicPr>
      </xdr:nvPicPr>
      <xdr:blipFill>
        <a:blip xmlns:r="http://schemas.openxmlformats.org/officeDocument/2006/relationships" r:embed="rId2"/>
        <a:stretch>
          <a:fillRect/>
        </a:stretch>
      </xdr:blipFill>
      <xdr:spPr>
        <a:xfrm>
          <a:off x="0" y="800343"/>
          <a:ext cx="6266667" cy="1942857"/>
        </a:xfrm>
        <a:prstGeom prst="rect">
          <a:avLst/>
        </a:prstGeom>
      </xdr:spPr>
    </xdr:pic>
    <xdr:clientData/>
  </xdr:twoCellAnchor>
  <xdr:twoCellAnchor>
    <xdr:from>
      <xdr:col>12</xdr:col>
      <xdr:colOff>1</xdr:colOff>
      <xdr:row>0</xdr:row>
      <xdr:rowOff>0</xdr:rowOff>
    </xdr:from>
    <xdr:to>
      <xdr:col>15</xdr:col>
      <xdr:colOff>1</xdr:colOff>
      <xdr:row>46</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357F82A-722D-4FF1-AE74-B90DEB546C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7134226" y="0"/>
              <a:ext cx="1790700" cy="7315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xdr:colOff>
      <xdr:row>0</xdr:row>
      <xdr:rowOff>0</xdr:rowOff>
    </xdr:from>
    <xdr:to>
      <xdr:col>19</xdr:col>
      <xdr:colOff>1</xdr:colOff>
      <xdr:row>46</xdr:row>
      <xdr:rowOff>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04ECFDF-C6C7-4DC2-96AE-644E768005F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058276" y="0"/>
              <a:ext cx="1828800" cy="7315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0</xdr:colOff>
      <xdr:row>0</xdr:row>
      <xdr:rowOff>0</xdr:rowOff>
    </xdr:from>
    <xdr:to>
      <xdr:col>27</xdr:col>
      <xdr:colOff>0</xdr:colOff>
      <xdr:row>20</xdr:row>
      <xdr:rowOff>0</xdr:rowOff>
    </xdr:to>
    <xdr:graphicFrame macro="">
      <xdr:nvGraphicFramePr>
        <xdr:cNvPr id="6" name="Chart 5">
          <a:extLst>
            <a:ext uri="{FF2B5EF4-FFF2-40B4-BE49-F238E27FC236}">
              <a16:creationId xmlns:a16="http://schemas.microsoft.com/office/drawing/2014/main" id="{5551F3EB-6199-4196-9D46-C4FA8A280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294476</xdr:colOff>
      <xdr:row>6</xdr:row>
      <xdr:rowOff>76076</xdr:rowOff>
    </xdr:to>
    <xdr:pic>
      <xdr:nvPicPr>
        <xdr:cNvPr id="2" name="Picture 1">
          <a:extLst>
            <a:ext uri="{FF2B5EF4-FFF2-40B4-BE49-F238E27FC236}">
              <a16:creationId xmlns:a16="http://schemas.microsoft.com/office/drawing/2014/main" id="{BA0764E5-453A-41F6-B20F-E48081E8863C}"/>
            </a:ext>
          </a:extLst>
        </xdr:cNvPr>
        <xdr:cNvPicPr>
          <a:picLocks noChangeAspect="1"/>
        </xdr:cNvPicPr>
      </xdr:nvPicPr>
      <xdr:blipFill>
        <a:blip xmlns:r="http://schemas.openxmlformats.org/officeDocument/2006/relationships" r:embed="rId1"/>
        <a:stretch>
          <a:fillRect/>
        </a:stretch>
      </xdr:blipFill>
      <xdr:spPr>
        <a:xfrm>
          <a:off x="0" y="0"/>
          <a:ext cx="6390476" cy="99047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c" refreshedDate="44077.312197800929" createdVersion="6" refreshedVersion="6" minRefreshableVersion="3" recordCount="33" xr:uid="{7C2D4A91-23FD-4D7F-8783-63A451EB46E3}">
  <cacheSource type="worksheet">
    <worksheetSource ref="A20:D53" sheet="4.29"/>
  </cacheSource>
  <cacheFields count="4">
    <cacheField name="Shape" numFmtId="0">
      <sharedItems count="5">
        <s v="Princess"/>
        <s v="Round"/>
        <s v="Emerald"/>
        <s v="Marquise"/>
        <s v="Oval"/>
      </sharedItems>
    </cacheField>
    <cacheField name="Size (carats)" numFmtId="2">
      <sharedItems containsSemiMixedTypes="0" containsString="0" containsNumber="1" minValue="0.32" maxValue="5.03"/>
    </cacheField>
    <cacheField name="Price" numFmtId="167">
      <sharedItems containsSemiMixedTypes="0" containsString="0" containsNumber="1" containsInteger="1" minValue="896" maxValue="44312"/>
    </cacheField>
    <cacheField name="Cut Grade" numFmtId="0">
      <sharedItems count="5">
        <s v="Ideal cut"/>
        <s v="Premium cut"/>
        <s v="Ultra ideal cut"/>
        <s v="Average cut"/>
        <s v="Good cu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5.03"/>
    <n v="44312"/>
    <x v="0"/>
  </r>
  <r>
    <x v="1"/>
    <n v="2.35"/>
    <n v="20413"/>
    <x v="1"/>
  </r>
  <r>
    <x v="1"/>
    <n v="2.0299999999999998"/>
    <n v="13080"/>
    <x v="0"/>
  </r>
  <r>
    <x v="1"/>
    <n v="1.56"/>
    <n v="13925"/>
    <x v="0"/>
  </r>
  <r>
    <x v="1"/>
    <n v="1.21"/>
    <n v="7382"/>
    <x v="2"/>
  </r>
  <r>
    <x v="1"/>
    <n v="1.21"/>
    <n v="5154"/>
    <x v="3"/>
  </r>
  <r>
    <x v="1"/>
    <n v="1.19"/>
    <n v="5339"/>
    <x v="1"/>
  </r>
  <r>
    <x v="2"/>
    <n v="1.1599999999999999"/>
    <n v="5161"/>
    <x v="0"/>
  </r>
  <r>
    <x v="1"/>
    <n v="1.08"/>
    <n v="8775"/>
    <x v="2"/>
  </r>
  <r>
    <x v="1"/>
    <n v="1.02"/>
    <n v="4282"/>
    <x v="1"/>
  </r>
  <r>
    <x v="1"/>
    <n v="1.02"/>
    <n v="6943"/>
    <x v="0"/>
  </r>
  <r>
    <x v="3"/>
    <n v="1.01"/>
    <n v="7038"/>
    <x v="4"/>
  </r>
  <r>
    <x v="0"/>
    <n v="1"/>
    <n v="4868"/>
    <x v="1"/>
  </r>
  <r>
    <x v="1"/>
    <n v="0.91"/>
    <n v="5106"/>
    <x v="1"/>
  </r>
  <r>
    <x v="1"/>
    <n v="0.9"/>
    <n v="3921"/>
    <x v="4"/>
  </r>
  <r>
    <x v="1"/>
    <n v="0.9"/>
    <n v="3733"/>
    <x v="1"/>
  </r>
  <r>
    <x v="1"/>
    <n v="0.84"/>
    <n v="2621"/>
    <x v="1"/>
  </r>
  <r>
    <x v="1"/>
    <n v="0.77"/>
    <n v="2828"/>
    <x v="2"/>
  </r>
  <r>
    <x v="4"/>
    <n v="0.76"/>
    <n v="3808"/>
    <x v="1"/>
  </r>
  <r>
    <x v="0"/>
    <n v="0.71"/>
    <n v="2327"/>
    <x v="1"/>
  </r>
  <r>
    <x v="3"/>
    <n v="0.71"/>
    <n v="2732"/>
    <x v="4"/>
  </r>
  <r>
    <x v="1"/>
    <n v="0.7"/>
    <n v="1915"/>
    <x v="1"/>
  </r>
  <r>
    <x v="1"/>
    <n v="0.66"/>
    <n v="1885"/>
    <x v="1"/>
  </r>
  <r>
    <x v="1"/>
    <n v="0.62"/>
    <n v="1397"/>
    <x v="4"/>
  </r>
  <r>
    <x v="1"/>
    <n v="0.52"/>
    <n v="2555"/>
    <x v="1"/>
  </r>
  <r>
    <x v="0"/>
    <n v="0.51"/>
    <n v="1337"/>
    <x v="0"/>
  </r>
  <r>
    <x v="1"/>
    <n v="0.51"/>
    <n v="1558"/>
    <x v="1"/>
  </r>
  <r>
    <x v="1"/>
    <n v="0.45"/>
    <n v="1191"/>
    <x v="1"/>
  </r>
  <r>
    <x v="0"/>
    <n v="0.44"/>
    <n v="1319"/>
    <x v="3"/>
  </r>
  <r>
    <x v="3"/>
    <n v="0.44"/>
    <n v="1319"/>
    <x v="1"/>
  </r>
  <r>
    <x v="1"/>
    <n v="0.4"/>
    <n v="1133"/>
    <x v="1"/>
  </r>
  <r>
    <x v="1"/>
    <n v="0.35"/>
    <n v="1354"/>
    <x v="4"/>
  </r>
  <r>
    <x v="1"/>
    <n v="0.32"/>
    <n v="89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0DCD2-5619-47DF-A309-9366CE7BACED}"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U23:AA30" firstHeaderRow="1" firstDataRow="2" firstDataCol="1"/>
  <pivotFields count="4">
    <pivotField axis="axisRow" showAll="0" sortType="ascending">
      <items count="6">
        <item x="2"/>
        <item x="3"/>
        <item x="4"/>
        <item x="0"/>
        <item x="1"/>
        <item t="default"/>
      </items>
      <autoSortScope>
        <pivotArea dataOnly="0" outline="0" fieldPosition="0">
          <references count="1">
            <reference field="4294967294" count="1" selected="0">
              <x v="0"/>
            </reference>
          </references>
        </pivotArea>
      </autoSortScope>
    </pivotField>
    <pivotField dataField="1" numFmtId="2" showAll="0"/>
    <pivotField numFmtId="167" showAll="0"/>
    <pivotField axis="axisCol" showAll="0">
      <items count="6">
        <item x="3"/>
        <item x="4"/>
        <item x="0"/>
        <item x="1"/>
        <item x="2"/>
        <item t="default"/>
      </items>
    </pivotField>
  </pivotFields>
  <rowFields count="1">
    <field x="0"/>
  </rowFields>
  <rowItems count="6">
    <i>
      <x v="2"/>
    </i>
    <i>
      <x/>
    </i>
    <i>
      <x v="1"/>
    </i>
    <i>
      <x v="3"/>
    </i>
    <i>
      <x v="4"/>
    </i>
    <i t="grand">
      <x/>
    </i>
  </rowItems>
  <colFields count="1">
    <field x="3"/>
  </colFields>
  <colItems count="6">
    <i>
      <x/>
    </i>
    <i>
      <x v="1"/>
    </i>
    <i>
      <x v="2"/>
    </i>
    <i>
      <x v="3"/>
    </i>
    <i>
      <x v="4"/>
    </i>
    <i t="grand">
      <x/>
    </i>
  </colItems>
  <dataFields count="1">
    <dataField name="Count of Size (carats)" fld="1" subtotal="count" baseField="0" baseItem="0"/>
  </dataFields>
  <formats count="6">
    <format dxfId="5">
      <pivotArea field="0" type="button" dataOnly="0" labelOnly="1" outline="0" axis="axisRow" fieldPosition="0"/>
    </format>
    <format dxfId="4">
      <pivotArea dataOnly="0" labelOnly="1" fieldPosition="0">
        <references count="1">
          <reference field="3" count="0"/>
        </references>
      </pivotArea>
    </format>
    <format dxfId="3">
      <pivotArea dataOnly="0" labelOnly="1" grandCol="1" outline="0" fieldPosition="0"/>
    </format>
    <format dxfId="2">
      <pivotArea outline="0" collapsedLevelsAreSubtotals="1" fieldPosition="0"/>
    </format>
    <format dxfId="1">
      <pivotArea dataOnly="0" labelOnly="1" fieldPosition="0">
        <references count="1">
          <reference field="3"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3055F-4320-4160-A41E-7CDCCF75CF02}">
  <dimension ref="A7:F18"/>
  <sheetViews>
    <sheetView workbookViewId="0">
      <selection activeCell="H31" sqref="H31"/>
    </sheetView>
  </sheetViews>
  <sheetFormatPr defaultRowHeight="12" x14ac:dyDescent="0.2"/>
  <cols>
    <col min="4" max="4" width="2" bestFit="1" customWidth="1"/>
    <col min="5" max="5" width="10.7109375" bestFit="1" customWidth="1"/>
    <col min="6" max="6" width="6.28515625" bestFit="1" customWidth="1"/>
  </cols>
  <sheetData>
    <row r="7" spans="1:6" x14ac:dyDescent="0.2">
      <c r="A7" t="s">
        <v>1</v>
      </c>
      <c r="B7" t="s">
        <v>0</v>
      </c>
    </row>
    <row r="8" spans="1:6" x14ac:dyDescent="0.2">
      <c r="A8">
        <v>1</v>
      </c>
      <c r="B8">
        <v>46</v>
      </c>
      <c r="D8">
        <v>0</v>
      </c>
      <c r="E8" s="1" t="s">
        <v>10</v>
      </c>
      <c r="F8">
        <f>_xlfn.QUARTILE.INC($B$8:$B$18,D8)</f>
        <v>46</v>
      </c>
    </row>
    <row r="9" spans="1:6" x14ac:dyDescent="0.2">
      <c r="A9">
        <v>2</v>
      </c>
      <c r="B9">
        <v>47</v>
      </c>
      <c r="D9">
        <v>1</v>
      </c>
      <c r="E9" s="27" t="s">
        <v>11</v>
      </c>
      <c r="F9" s="7">
        <f>_xlfn.QUARTILE.INC($B$8:$B$18,D9)</f>
        <v>49</v>
      </c>
    </row>
    <row r="10" spans="1:6" x14ac:dyDescent="0.2">
      <c r="A10">
        <v>3</v>
      </c>
      <c r="B10">
        <v>49</v>
      </c>
      <c r="D10">
        <v>2</v>
      </c>
      <c r="E10" s="27" t="s">
        <v>2</v>
      </c>
      <c r="F10" s="7">
        <f t="shared" ref="F10:F11" si="0">_xlfn.QUARTILE.EXC($B$8:$B$18,D10)</f>
        <v>53</v>
      </c>
    </row>
    <row r="11" spans="1:6" x14ac:dyDescent="0.2">
      <c r="A11">
        <v>4</v>
      </c>
      <c r="B11">
        <v>49</v>
      </c>
      <c r="D11">
        <v>3</v>
      </c>
      <c r="E11" s="27" t="s">
        <v>12</v>
      </c>
      <c r="F11" s="7">
        <f t="shared" si="0"/>
        <v>55</v>
      </c>
    </row>
    <row r="12" spans="1:6" x14ac:dyDescent="0.2">
      <c r="A12">
        <v>5</v>
      </c>
      <c r="B12">
        <v>51</v>
      </c>
      <c r="D12">
        <v>4</v>
      </c>
      <c r="E12" s="1" t="s">
        <v>10</v>
      </c>
      <c r="F12">
        <f>_xlfn.QUARTILE.INC($B$8:$B$18,D12)</f>
        <v>59</v>
      </c>
    </row>
    <row r="13" spans="1:6" x14ac:dyDescent="0.2">
      <c r="A13">
        <v>6</v>
      </c>
      <c r="B13">
        <v>53</v>
      </c>
    </row>
    <row r="14" spans="1:6" x14ac:dyDescent="0.2">
      <c r="A14">
        <v>7</v>
      </c>
      <c r="B14">
        <v>54</v>
      </c>
    </row>
    <row r="15" spans="1:6" x14ac:dyDescent="0.2">
      <c r="A15">
        <v>8</v>
      </c>
      <c r="B15">
        <v>54</v>
      </c>
    </row>
    <row r="16" spans="1:6" x14ac:dyDescent="0.2">
      <c r="A16">
        <v>9</v>
      </c>
      <c r="B16">
        <v>55</v>
      </c>
    </row>
    <row r="17" spans="1:2" x14ac:dyDescent="0.2">
      <c r="A17">
        <v>10</v>
      </c>
      <c r="B17">
        <v>55</v>
      </c>
    </row>
    <row r="18" spans="1:2" x14ac:dyDescent="0.2">
      <c r="A18">
        <v>11</v>
      </c>
      <c r="B18">
        <v>59</v>
      </c>
    </row>
  </sheetData>
  <sortState xmlns:xlrd2="http://schemas.microsoft.com/office/spreadsheetml/2017/richdata2" ref="A8:B18">
    <sortCondition ref="B8:B18"/>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2FA80-A372-48D3-A80C-AF6EA85B0491}">
  <dimension ref="A17:C22"/>
  <sheetViews>
    <sheetView workbookViewId="0">
      <selection activeCell="A17" sqref="A17:C22"/>
    </sheetView>
  </sheetViews>
  <sheetFormatPr defaultRowHeight="12" x14ac:dyDescent="0.2"/>
  <cols>
    <col min="1" max="1" width="2" bestFit="1" customWidth="1"/>
  </cols>
  <sheetData>
    <row r="17" spans="1:3" x14ac:dyDescent="0.2">
      <c r="A17" s="4" t="s">
        <v>4</v>
      </c>
      <c r="B17" s="5">
        <v>800</v>
      </c>
      <c r="C17" s="5"/>
    </row>
    <row r="18" spans="1:3" x14ac:dyDescent="0.2">
      <c r="A18" s="4" t="s">
        <v>5</v>
      </c>
      <c r="B18" s="5">
        <v>500</v>
      </c>
      <c r="C18" s="5">
        <v>1200</v>
      </c>
    </row>
    <row r="19" spans="1:3" x14ac:dyDescent="0.2">
      <c r="A19" s="4" t="s">
        <v>6</v>
      </c>
      <c r="B19" s="5">
        <f>C18-B18</f>
        <v>700</v>
      </c>
      <c r="C19" s="5"/>
    </row>
    <row r="20" spans="1:3" x14ac:dyDescent="0.2">
      <c r="A20" s="4" t="s">
        <v>3</v>
      </c>
      <c r="B20" s="5">
        <v>200</v>
      </c>
      <c r="C20" s="5">
        <v>1800</v>
      </c>
    </row>
    <row r="21" spans="1:3" x14ac:dyDescent="0.2">
      <c r="A21" s="4" t="s">
        <v>7</v>
      </c>
      <c r="B21" s="5" t="s">
        <v>13</v>
      </c>
      <c r="C21" s="5"/>
    </row>
    <row r="22" spans="1:3" x14ac:dyDescent="0.2">
      <c r="A22" s="4" t="s">
        <v>8</v>
      </c>
      <c r="B22" s="5" t="s">
        <v>9</v>
      </c>
      <c r="C22" s="5"/>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82F40-0944-40C2-AEEB-50B6CDB46769}">
  <dimension ref="A13:E18"/>
  <sheetViews>
    <sheetView workbookViewId="0">
      <selection activeCell="D14" sqref="D14:E18"/>
    </sheetView>
  </sheetViews>
  <sheetFormatPr defaultRowHeight="12" x14ac:dyDescent="0.2"/>
  <cols>
    <col min="1" max="1" width="7.42578125" bestFit="1" customWidth="1"/>
    <col min="3" max="3" width="2" bestFit="1" customWidth="1"/>
  </cols>
  <sheetData>
    <row r="13" spans="1:5" x14ac:dyDescent="0.2">
      <c r="A13" t="s">
        <v>16</v>
      </c>
    </row>
    <row r="14" spans="1:5" x14ac:dyDescent="0.2">
      <c r="A14">
        <v>36</v>
      </c>
      <c r="C14" s="4" t="s">
        <v>4</v>
      </c>
      <c r="D14" s="7" t="s">
        <v>14</v>
      </c>
      <c r="E14" s="8">
        <f>AVERAGE(A14:A18)</f>
        <v>30.8</v>
      </c>
    </row>
    <row r="15" spans="1:5" x14ac:dyDescent="0.2">
      <c r="A15">
        <v>26</v>
      </c>
      <c r="C15" s="4"/>
      <c r="D15" s="7" t="s">
        <v>2</v>
      </c>
      <c r="E15" s="8">
        <f>MEDIAN(A14:A18)</f>
        <v>31</v>
      </c>
    </row>
    <row r="16" spans="1:5" x14ac:dyDescent="0.2">
      <c r="A16">
        <v>33</v>
      </c>
      <c r="C16" s="4"/>
      <c r="D16" s="7" t="s">
        <v>15</v>
      </c>
      <c r="E16" s="8">
        <f>_xlfn.STDEV.S(A14:A18)</f>
        <v>3.9623225512317957</v>
      </c>
    </row>
    <row r="17" spans="1:5" x14ac:dyDescent="0.2">
      <c r="A17">
        <v>28</v>
      </c>
      <c r="C17" s="4" t="s">
        <v>5</v>
      </c>
      <c r="D17" s="9">
        <f>3*(E14-E15)/E16</f>
        <v>-0.15142633953751988</v>
      </c>
      <c r="E17" s="7"/>
    </row>
    <row r="18" spans="1:5" x14ac:dyDescent="0.2">
      <c r="A18">
        <v>31</v>
      </c>
      <c r="C18" s="4" t="s">
        <v>6</v>
      </c>
      <c r="D18" s="9">
        <f>SKEW(A14:A18)</f>
        <v>0.12538486713297797</v>
      </c>
      <c r="E18"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41AF-17D2-4ED5-870F-A66925F028A3}">
  <dimension ref="A14:E29"/>
  <sheetViews>
    <sheetView workbookViewId="0">
      <selection activeCell="D18" sqref="D18"/>
    </sheetView>
  </sheetViews>
  <sheetFormatPr defaultRowHeight="12" x14ac:dyDescent="0.2"/>
  <cols>
    <col min="3" max="3" width="2" bestFit="1" customWidth="1"/>
  </cols>
  <sheetData>
    <row r="14" spans="1:5" x14ac:dyDescent="0.2">
      <c r="A14" t="s">
        <v>17</v>
      </c>
    </row>
    <row r="15" spans="1:5" x14ac:dyDescent="0.2">
      <c r="A15" s="6">
        <v>3.9</v>
      </c>
      <c r="C15" s="4" t="s">
        <v>4</v>
      </c>
      <c r="D15" s="7" t="s">
        <v>14</v>
      </c>
      <c r="E15" s="8">
        <f>AVERAGE(A:A)</f>
        <v>21.926666666666666</v>
      </c>
    </row>
    <row r="16" spans="1:5" x14ac:dyDescent="0.2">
      <c r="A16" s="6">
        <v>5.7</v>
      </c>
      <c r="C16" s="4"/>
      <c r="D16" s="7" t="s">
        <v>2</v>
      </c>
      <c r="E16" s="8">
        <f>MEDIAN(A:A)</f>
        <v>15.8</v>
      </c>
    </row>
    <row r="17" spans="1:5" x14ac:dyDescent="0.2">
      <c r="A17" s="6">
        <v>7.3</v>
      </c>
      <c r="C17" s="4"/>
      <c r="D17" s="7" t="s">
        <v>15</v>
      </c>
      <c r="E17" s="8">
        <f>_xlfn.STDEV.S(A:A)</f>
        <v>21.184545130376357</v>
      </c>
    </row>
    <row r="18" spans="1:5" x14ac:dyDescent="0.2">
      <c r="A18" s="6">
        <v>10.6</v>
      </c>
      <c r="C18" s="4" t="s">
        <v>5</v>
      </c>
      <c r="D18" s="10">
        <f>3*(E15-E16)/E17</f>
        <v>0.86761362525764385</v>
      </c>
      <c r="E18" s="7"/>
    </row>
    <row r="19" spans="1:5" x14ac:dyDescent="0.2">
      <c r="A19" s="6">
        <v>13</v>
      </c>
      <c r="C19" s="4" t="s">
        <v>6</v>
      </c>
      <c r="D19" s="10">
        <f>SKEW(A:A)</f>
        <v>2.4443683007140793</v>
      </c>
      <c r="E19" s="7"/>
    </row>
    <row r="20" spans="1:5" x14ac:dyDescent="0.2">
      <c r="A20" s="6">
        <v>13.6</v>
      </c>
    </row>
    <row r="21" spans="1:5" x14ac:dyDescent="0.2">
      <c r="A21" s="6">
        <v>15.1</v>
      </c>
    </row>
    <row r="22" spans="1:5" x14ac:dyDescent="0.2">
      <c r="A22" s="6">
        <v>15.8</v>
      </c>
    </row>
    <row r="23" spans="1:5" x14ac:dyDescent="0.2">
      <c r="A23" s="6">
        <v>17.100000000000001</v>
      </c>
    </row>
    <row r="24" spans="1:5" x14ac:dyDescent="0.2">
      <c r="A24" s="6">
        <v>17.399999999999999</v>
      </c>
    </row>
    <row r="25" spans="1:5" x14ac:dyDescent="0.2">
      <c r="A25" s="6">
        <v>17.600000000000001</v>
      </c>
    </row>
    <row r="26" spans="1:5" x14ac:dyDescent="0.2">
      <c r="A26" s="6">
        <v>22.3</v>
      </c>
    </row>
    <row r="27" spans="1:5" x14ac:dyDescent="0.2">
      <c r="A27" s="6">
        <v>38.6</v>
      </c>
    </row>
    <row r="28" spans="1:5" x14ac:dyDescent="0.2">
      <c r="A28" s="6">
        <v>43.2</v>
      </c>
    </row>
    <row r="29" spans="1:5" x14ac:dyDescent="0.2">
      <c r="A29" s="6">
        <v>87.7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C29A-C1F9-421B-810E-2256705A1013}">
  <dimension ref="A23:L38"/>
  <sheetViews>
    <sheetView topLeftCell="A3" workbookViewId="0">
      <selection activeCell="J25" sqref="J25"/>
    </sheetView>
  </sheetViews>
  <sheetFormatPr defaultRowHeight="12" x14ac:dyDescent="0.2"/>
  <cols>
    <col min="4" max="5" width="2" bestFit="1" customWidth="1"/>
    <col min="6" max="6" width="8.7109375" customWidth="1"/>
  </cols>
  <sheetData>
    <row r="23" spans="1:12" x14ac:dyDescent="0.2">
      <c r="G23" s="14" t="s">
        <v>4</v>
      </c>
      <c r="H23" s="14" t="s">
        <v>5</v>
      </c>
    </row>
    <row r="24" spans="1:12" x14ac:dyDescent="0.2">
      <c r="A24" s="12" t="s">
        <v>18</v>
      </c>
      <c r="B24" s="12" t="s">
        <v>19</v>
      </c>
      <c r="E24" s="3" t="s">
        <v>23</v>
      </c>
      <c r="G24" s="14" t="s">
        <v>18</v>
      </c>
      <c r="H24" s="14" t="s">
        <v>19</v>
      </c>
      <c r="J24" s="3"/>
      <c r="K24" s="12"/>
      <c r="L24" s="12"/>
    </row>
    <row r="25" spans="1:12" x14ac:dyDescent="0.2">
      <c r="A25" s="11">
        <v>23</v>
      </c>
      <c r="B25" s="11">
        <v>32</v>
      </c>
      <c r="E25">
        <v>0</v>
      </c>
      <c r="F25" t="s">
        <v>20</v>
      </c>
      <c r="G25" s="13">
        <f>_xlfn.QUARTILE.INC(A:A,E25)</f>
        <v>23</v>
      </c>
      <c r="H25" s="13">
        <f>_xlfn.QUARTILE.INC(B:B,E25)</f>
        <v>32</v>
      </c>
      <c r="K25" s="11"/>
      <c r="L25" s="11"/>
    </row>
    <row r="26" spans="1:12" x14ac:dyDescent="0.2">
      <c r="A26" s="11">
        <v>25</v>
      </c>
      <c r="B26" s="11">
        <v>32</v>
      </c>
      <c r="E26">
        <v>1</v>
      </c>
      <c r="F26" t="s">
        <v>21</v>
      </c>
      <c r="G26" s="13">
        <f>_xlfn.QUARTILE.INC(A:A,E26)</f>
        <v>28.75</v>
      </c>
      <c r="H26" s="13">
        <f t="shared" ref="H26:H29" si="0">_xlfn.QUARTILE.INC(B:B,E26)</f>
        <v>33.75</v>
      </c>
      <c r="K26" s="11"/>
      <c r="L26" s="11"/>
    </row>
    <row r="27" spans="1:12" x14ac:dyDescent="0.2">
      <c r="A27" s="11">
        <v>25</v>
      </c>
      <c r="B27" s="11">
        <v>33</v>
      </c>
      <c r="E27">
        <v>2</v>
      </c>
      <c r="F27" t="s">
        <v>2</v>
      </c>
      <c r="G27" s="13">
        <f>_xlfn.QUARTILE.INC(A:A,E27)</f>
        <v>31.5</v>
      </c>
      <c r="H27" s="13">
        <f t="shared" si="0"/>
        <v>37.5</v>
      </c>
      <c r="K27" s="11"/>
      <c r="L27" s="11"/>
    </row>
    <row r="28" spans="1:12" x14ac:dyDescent="0.2">
      <c r="A28" s="11">
        <v>30</v>
      </c>
      <c r="B28" s="11">
        <v>34</v>
      </c>
      <c r="E28">
        <v>3</v>
      </c>
      <c r="F28" t="s">
        <v>24</v>
      </c>
      <c r="G28" s="13">
        <f>_xlfn.QUARTILE.INC(A:A,E28)</f>
        <v>35.25</v>
      </c>
      <c r="H28" s="13">
        <f t="shared" si="0"/>
        <v>38.25</v>
      </c>
      <c r="K28" s="11"/>
      <c r="L28" s="11"/>
    </row>
    <row r="29" spans="1:12" x14ac:dyDescent="0.2">
      <c r="A29" s="11">
        <v>31</v>
      </c>
      <c r="B29" s="11">
        <v>37</v>
      </c>
      <c r="E29">
        <v>4</v>
      </c>
      <c r="F29" t="s">
        <v>22</v>
      </c>
      <c r="G29" s="13">
        <f>_xlfn.QUARTILE.INC(A:A,E29)</f>
        <v>42</v>
      </c>
      <c r="H29" s="13">
        <f t="shared" si="0"/>
        <v>44</v>
      </c>
      <c r="K29" s="11"/>
      <c r="L29" s="11"/>
    </row>
    <row r="30" spans="1:12" x14ac:dyDescent="0.2">
      <c r="A30" s="11">
        <v>31</v>
      </c>
      <c r="B30" s="11">
        <v>37</v>
      </c>
    </row>
    <row r="31" spans="1:12" ht="12" customHeight="1" x14ac:dyDescent="0.2">
      <c r="A31" s="11">
        <v>32</v>
      </c>
      <c r="B31" s="11">
        <v>38</v>
      </c>
      <c r="E31" s="4" t="s">
        <v>6</v>
      </c>
      <c r="F31" s="28" t="s">
        <v>25</v>
      </c>
      <c r="G31" s="28"/>
      <c r="H31" s="28"/>
      <c r="I31" s="28"/>
      <c r="J31" s="28"/>
      <c r="K31" s="28"/>
      <c r="L31" s="28"/>
    </row>
    <row r="32" spans="1:12" x14ac:dyDescent="0.2">
      <c r="A32" s="11">
        <v>33</v>
      </c>
      <c r="B32" s="11">
        <v>38</v>
      </c>
      <c r="F32" s="28"/>
      <c r="G32" s="28"/>
      <c r="H32" s="28"/>
      <c r="I32" s="28"/>
      <c r="J32" s="28"/>
      <c r="K32" s="28"/>
      <c r="L32" s="28"/>
    </row>
    <row r="33" spans="1:12" x14ac:dyDescent="0.2">
      <c r="A33" s="11">
        <v>35</v>
      </c>
      <c r="B33" s="11">
        <v>38</v>
      </c>
      <c r="F33" s="28"/>
      <c r="G33" s="28"/>
      <c r="H33" s="28"/>
      <c r="I33" s="28"/>
      <c r="J33" s="28"/>
      <c r="K33" s="28"/>
      <c r="L33" s="28"/>
    </row>
    <row r="34" spans="1:12" x14ac:dyDescent="0.2">
      <c r="A34" s="11">
        <v>36</v>
      </c>
      <c r="B34" s="11">
        <v>39</v>
      </c>
      <c r="F34" s="28"/>
      <c r="G34" s="28"/>
      <c r="H34" s="28"/>
      <c r="I34" s="28"/>
      <c r="J34" s="28"/>
      <c r="K34" s="28"/>
      <c r="L34" s="28"/>
    </row>
    <row r="35" spans="1:12" x14ac:dyDescent="0.2">
      <c r="A35" s="11">
        <v>37</v>
      </c>
      <c r="B35" s="11">
        <v>40</v>
      </c>
      <c r="F35" s="28"/>
      <c r="G35" s="28"/>
      <c r="H35" s="28"/>
      <c r="I35" s="28"/>
      <c r="J35" s="28"/>
      <c r="K35" s="28"/>
      <c r="L35" s="28"/>
    </row>
    <row r="36" spans="1:12" x14ac:dyDescent="0.2">
      <c r="A36" s="11">
        <v>42</v>
      </c>
      <c r="B36" s="11">
        <v>44</v>
      </c>
      <c r="F36" s="28"/>
      <c r="G36" s="28"/>
      <c r="H36" s="28"/>
      <c r="I36" s="28"/>
      <c r="J36" s="28"/>
      <c r="K36" s="28"/>
      <c r="L36" s="28"/>
    </row>
    <row r="37" spans="1:12" x14ac:dyDescent="0.2">
      <c r="F37" s="28"/>
      <c r="G37" s="28"/>
      <c r="H37" s="28"/>
      <c r="I37" s="28"/>
      <c r="J37" s="28"/>
      <c r="K37" s="28"/>
      <c r="L37" s="28"/>
    </row>
    <row r="38" spans="1:12" x14ac:dyDescent="0.2">
      <c r="F38" s="28"/>
      <c r="G38" s="28"/>
      <c r="H38" s="28"/>
      <c r="I38" s="28"/>
      <c r="J38" s="28"/>
      <c r="K38" s="28"/>
      <c r="L38" s="28"/>
    </row>
  </sheetData>
  <mergeCells count="1">
    <mergeCell ref="F31:L38"/>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98E65-52FD-42EC-A5C5-CA2C5698D8DC}">
  <dimension ref="A1:GP53"/>
  <sheetViews>
    <sheetView workbookViewId="0">
      <selection activeCell="J27" sqref="J27"/>
    </sheetView>
  </sheetViews>
  <sheetFormatPr defaultRowHeight="12" x14ac:dyDescent="0.2"/>
  <cols>
    <col min="1" max="2" width="9.140625" style="2"/>
    <col min="3" max="3" width="11" style="2" bestFit="1" customWidth="1"/>
    <col min="4" max="4" width="11.7109375" style="2" bestFit="1" customWidth="1"/>
    <col min="12" max="12" width="2" bestFit="1" customWidth="1"/>
    <col min="14" max="14" width="8.5703125" bestFit="1" customWidth="1"/>
    <col min="16" max="16" width="2" bestFit="1" customWidth="1"/>
    <col min="20" max="20" width="2" bestFit="1" customWidth="1"/>
    <col min="21" max="21" width="18.7109375" bestFit="1" customWidth="1"/>
    <col min="22" max="27" width="8.42578125" customWidth="1"/>
    <col min="28" max="28" width="9.7109375" bestFit="1" customWidth="1"/>
    <col min="29" max="29" width="8.28515625" bestFit="1" customWidth="1"/>
    <col min="30" max="30" width="7.7109375" bestFit="1" customWidth="1"/>
    <col min="31" max="31" width="12.28515625" bestFit="1" customWidth="1"/>
    <col min="32" max="32" width="13.28515625" bestFit="1" customWidth="1"/>
    <col min="33" max="33" width="8.28515625" bestFit="1" customWidth="1"/>
    <col min="34" max="34" width="8.5703125" bestFit="1" customWidth="1"/>
    <col min="35" max="35" width="4.5703125" bestFit="1" customWidth="1"/>
    <col min="36" max="36" width="16" bestFit="1" customWidth="1"/>
    <col min="37" max="37" width="14" bestFit="1" customWidth="1"/>
    <col min="38" max="38" width="16.7109375" bestFit="1" customWidth="1"/>
    <col min="39" max="39" width="10.28515625" bestFit="1" customWidth="1"/>
  </cols>
  <sheetData>
    <row r="1" spans="12:198" x14ac:dyDescent="0.2">
      <c r="L1" s="4" t="s">
        <v>4</v>
      </c>
      <c r="P1" s="4" t="s">
        <v>5</v>
      </c>
      <c r="T1" s="4" t="s">
        <v>6</v>
      </c>
    </row>
    <row r="4" spans="12:198" x14ac:dyDescent="0.2">
      <c r="AJ4" s="16"/>
      <c r="AP4" s="16"/>
      <c r="AV4" s="16"/>
      <c r="BB4" s="16"/>
      <c r="BH4" s="16"/>
      <c r="BN4" s="16"/>
      <c r="BT4" s="16"/>
      <c r="BZ4" s="16"/>
      <c r="CF4" s="16"/>
      <c r="CL4" s="16"/>
      <c r="CR4" s="16"/>
      <c r="CX4" s="16"/>
      <c r="DD4" s="16"/>
      <c r="DP4" s="16"/>
      <c r="DV4" s="16"/>
      <c r="EB4" s="16"/>
      <c r="EH4" s="16"/>
      <c r="EN4" s="16"/>
      <c r="ET4" s="16"/>
      <c r="EZ4" s="16"/>
      <c r="FF4" s="16"/>
      <c r="FL4" s="16"/>
      <c r="FR4" s="16"/>
      <c r="FX4" s="16"/>
      <c r="GD4" s="16"/>
      <c r="GJ4" s="16"/>
      <c r="GP4" s="16"/>
    </row>
    <row r="20" spans="1:27" ht="24" x14ac:dyDescent="0.2">
      <c r="A20" s="18" t="s">
        <v>39</v>
      </c>
      <c r="B20" s="18" t="s">
        <v>26</v>
      </c>
      <c r="C20" s="18" t="s">
        <v>27</v>
      </c>
      <c r="D20" s="18" t="s">
        <v>28</v>
      </c>
      <c r="T20" s="3"/>
    </row>
    <row r="21" spans="1:27" x14ac:dyDescent="0.2">
      <c r="A21" s="11" t="s">
        <v>29</v>
      </c>
      <c r="B21" s="19">
        <v>5.03</v>
      </c>
      <c r="C21" s="20">
        <v>44312</v>
      </c>
      <c r="D21" s="11" t="s">
        <v>30</v>
      </c>
      <c r="U21" t="s">
        <v>48</v>
      </c>
    </row>
    <row r="22" spans="1:27" x14ac:dyDescent="0.2">
      <c r="A22" s="11" t="s">
        <v>31</v>
      </c>
      <c r="B22" s="19">
        <v>2.35</v>
      </c>
      <c r="C22" s="20">
        <v>20413</v>
      </c>
      <c r="D22" s="11" t="s">
        <v>32</v>
      </c>
    </row>
    <row r="23" spans="1:27" x14ac:dyDescent="0.2">
      <c r="A23" s="11" t="s">
        <v>31</v>
      </c>
      <c r="B23" s="19">
        <v>2.0299999999999998</v>
      </c>
      <c r="C23" s="20">
        <v>13080</v>
      </c>
      <c r="D23" s="11" t="s">
        <v>30</v>
      </c>
      <c r="T23" s="4" t="s">
        <v>3</v>
      </c>
      <c r="U23" s="17" t="s">
        <v>49</v>
      </c>
      <c r="V23" s="17" t="s">
        <v>40</v>
      </c>
    </row>
    <row r="24" spans="1:27" ht="24" x14ac:dyDescent="0.2">
      <c r="A24" s="11" t="s">
        <v>31</v>
      </c>
      <c r="B24" s="19">
        <v>1.56</v>
      </c>
      <c r="C24" s="20">
        <v>13925</v>
      </c>
      <c r="D24" s="11" t="s">
        <v>30</v>
      </c>
      <c r="U24" s="22" t="s">
        <v>42</v>
      </c>
      <c r="V24" s="15" t="s">
        <v>34</v>
      </c>
      <c r="W24" s="15" t="s">
        <v>37</v>
      </c>
      <c r="X24" s="15" t="s">
        <v>30</v>
      </c>
      <c r="Y24" s="15" t="s">
        <v>32</v>
      </c>
      <c r="Z24" s="15" t="s">
        <v>33</v>
      </c>
      <c r="AA24" s="15" t="s">
        <v>41</v>
      </c>
    </row>
    <row r="25" spans="1:27" x14ac:dyDescent="0.2">
      <c r="A25" s="11" t="s">
        <v>31</v>
      </c>
      <c r="B25" s="19">
        <v>1.21</v>
      </c>
      <c r="C25" s="20">
        <v>7382</v>
      </c>
      <c r="D25" s="11" t="s">
        <v>33</v>
      </c>
      <c r="U25" s="2" t="s">
        <v>38</v>
      </c>
      <c r="V25" s="23"/>
      <c r="W25" s="23"/>
      <c r="X25" s="23"/>
      <c r="Y25" s="23">
        <v>1</v>
      </c>
      <c r="Z25" s="23"/>
      <c r="AA25" s="23">
        <v>1</v>
      </c>
    </row>
    <row r="26" spans="1:27" x14ac:dyDescent="0.2">
      <c r="A26" s="11" t="s">
        <v>31</v>
      </c>
      <c r="B26" s="19">
        <v>1.21</v>
      </c>
      <c r="C26" s="20">
        <v>5154</v>
      </c>
      <c r="D26" s="11" t="s">
        <v>34</v>
      </c>
      <c r="U26" s="2" t="s">
        <v>35</v>
      </c>
      <c r="V26" s="23"/>
      <c r="W26" s="23"/>
      <c r="X26" s="23">
        <v>1</v>
      </c>
      <c r="Y26" s="23"/>
      <c r="Z26" s="23"/>
      <c r="AA26" s="23">
        <v>1</v>
      </c>
    </row>
    <row r="27" spans="1:27" x14ac:dyDescent="0.2">
      <c r="A27" s="11" t="s">
        <v>31</v>
      </c>
      <c r="B27" s="19">
        <v>1.19</v>
      </c>
      <c r="C27" s="20">
        <v>5339</v>
      </c>
      <c r="D27" s="11" t="s">
        <v>32</v>
      </c>
      <c r="U27" s="2" t="s">
        <v>36</v>
      </c>
      <c r="V27" s="23"/>
      <c r="W27" s="23">
        <v>2</v>
      </c>
      <c r="X27" s="23"/>
      <c r="Y27" s="23">
        <v>1</v>
      </c>
      <c r="Z27" s="23"/>
      <c r="AA27" s="23">
        <v>3</v>
      </c>
    </row>
    <row r="28" spans="1:27" x14ac:dyDescent="0.2">
      <c r="A28" s="11" t="s">
        <v>35</v>
      </c>
      <c r="B28" s="19">
        <v>1.1599999999999999</v>
      </c>
      <c r="C28" s="20">
        <v>5161</v>
      </c>
      <c r="D28" s="11" t="s">
        <v>30</v>
      </c>
      <c r="U28" s="2" t="s">
        <v>29</v>
      </c>
      <c r="V28" s="23">
        <v>1</v>
      </c>
      <c r="W28" s="23"/>
      <c r="X28" s="23">
        <v>2</v>
      </c>
      <c r="Y28" s="23">
        <v>2</v>
      </c>
      <c r="Z28" s="23"/>
      <c r="AA28" s="23">
        <v>5</v>
      </c>
    </row>
    <row r="29" spans="1:27" x14ac:dyDescent="0.2">
      <c r="A29" s="11" t="s">
        <v>31</v>
      </c>
      <c r="B29" s="19">
        <v>1.08</v>
      </c>
      <c r="C29" s="20">
        <v>8775</v>
      </c>
      <c r="D29" s="11" t="s">
        <v>33</v>
      </c>
      <c r="U29" s="2" t="s">
        <v>31</v>
      </c>
      <c r="V29" s="23">
        <v>1</v>
      </c>
      <c r="W29" s="23">
        <v>3</v>
      </c>
      <c r="X29" s="23">
        <v>3</v>
      </c>
      <c r="Y29" s="23">
        <v>13</v>
      </c>
      <c r="Z29" s="23">
        <v>3</v>
      </c>
      <c r="AA29" s="23">
        <v>23</v>
      </c>
    </row>
    <row r="30" spans="1:27" x14ac:dyDescent="0.2">
      <c r="A30" s="11" t="s">
        <v>31</v>
      </c>
      <c r="B30" s="19">
        <v>1.02</v>
      </c>
      <c r="C30" s="20">
        <v>4282</v>
      </c>
      <c r="D30" s="11" t="s">
        <v>32</v>
      </c>
      <c r="U30" s="2" t="s">
        <v>41</v>
      </c>
      <c r="V30" s="23">
        <v>2</v>
      </c>
      <c r="W30" s="23">
        <v>5</v>
      </c>
      <c r="X30" s="23">
        <v>6</v>
      </c>
      <c r="Y30" s="23">
        <v>17</v>
      </c>
      <c r="Z30" s="23">
        <v>3</v>
      </c>
      <c r="AA30" s="23">
        <v>33</v>
      </c>
    </row>
    <row r="31" spans="1:27" x14ac:dyDescent="0.2">
      <c r="A31" s="11" t="s">
        <v>31</v>
      </c>
      <c r="B31" s="19">
        <v>1.02</v>
      </c>
      <c r="C31" s="20">
        <v>6943</v>
      </c>
      <c r="D31" s="11" t="s">
        <v>30</v>
      </c>
      <c r="U31" s="24" t="s">
        <v>50</v>
      </c>
    </row>
    <row r="32" spans="1:27" x14ac:dyDescent="0.2">
      <c r="A32" s="11" t="s">
        <v>36</v>
      </c>
      <c r="B32" s="19">
        <v>1.01</v>
      </c>
      <c r="C32" s="20">
        <v>7038</v>
      </c>
      <c r="D32" s="11" t="s">
        <v>37</v>
      </c>
      <c r="U32" s="1" t="s">
        <v>51</v>
      </c>
      <c r="V32" t="s">
        <v>52</v>
      </c>
    </row>
    <row r="33" spans="1:22" x14ac:dyDescent="0.2">
      <c r="A33" s="11" t="s">
        <v>29</v>
      </c>
      <c r="B33" s="19">
        <v>1</v>
      </c>
      <c r="C33" s="20">
        <v>4868</v>
      </c>
      <c r="D33" s="11" t="s">
        <v>32</v>
      </c>
      <c r="U33" s="1" t="s">
        <v>53</v>
      </c>
      <c r="V33" t="s">
        <v>31</v>
      </c>
    </row>
    <row r="34" spans="1:22" x14ac:dyDescent="0.2">
      <c r="A34" s="11" t="s">
        <v>31</v>
      </c>
      <c r="B34" s="19">
        <v>0.91</v>
      </c>
      <c r="C34" s="20">
        <v>5106</v>
      </c>
      <c r="D34" s="11" t="s">
        <v>32</v>
      </c>
      <c r="U34" s="1" t="s">
        <v>54</v>
      </c>
      <c r="V34" t="s">
        <v>55</v>
      </c>
    </row>
    <row r="35" spans="1:22" x14ac:dyDescent="0.2">
      <c r="A35" s="11" t="s">
        <v>31</v>
      </c>
      <c r="B35" s="19">
        <v>0.9</v>
      </c>
      <c r="C35" s="20">
        <v>3921</v>
      </c>
      <c r="D35" s="11" t="s">
        <v>37</v>
      </c>
    </row>
    <row r="36" spans="1:22" x14ac:dyDescent="0.2">
      <c r="A36" s="11" t="s">
        <v>31</v>
      </c>
      <c r="B36" s="19">
        <v>0.9</v>
      </c>
      <c r="C36" s="20">
        <v>3733</v>
      </c>
      <c r="D36" s="11" t="s">
        <v>32</v>
      </c>
    </row>
    <row r="37" spans="1:22" x14ac:dyDescent="0.2">
      <c r="A37" s="11" t="s">
        <v>31</v>
      </c>
      <c r="B37" s="19">
        <v>0.84</v>
      </c>
      <c r="C37" s="20">
        <v>2621</v>
      </c>
      <c r="D37" s="11" t="s">
        <v>32</v>
      </c>
    </row>
    <row r="38" spans="1:22" x14ac:dyDescent="0.2">
      <c r="A38" s="11" t="s">
        <v>31</v>
      </c>
      <c r="B38" s="19">
        <v>0.77</v>
      </c>
      <c r="C38" s="20">
        <v>2828</v>
      </c>
      <c r="D38" s="11" t="s">
        <v>33</v>
      </c>
    </row>
    <row r="39" spans="1:22" x14ac:dyDescent="0.2">
      <c r="A39" s="11" t="s">
        <v>38</v>
      </c>
      <c r="B39" s="19">
        <v>0.76</v>
      </c>
      <c r="C39" s="20">
        <v>3808</v>
      </c>
      <c r="D39" s="11" t="s">
        <v>32</v>
      </c>
    </row>
    <row r="40" spans="1:22" x14ac:dyDescent="0.2">
      <c r="A40" s="11" t="s">
        <v>29</v>
      </c>
      <c r="B40" s="19">
        <v>0.71</v>
      </c>
      <c r="C40" s="20">
        <v>2327</v>
      </c>
      <c r="D40" s="11" t="s">
        <v>32</v>
      </c>
    </row>
    <row r="41" spans="1:22" x14ac:dyDescent="0.2">
      <c r="A41" s="11" t="s">
        <v>36</v>
      </c>
      <c r="B41" s="19">
        <v>0.71</v>
      </c>
      <c r="C41" s="20">
        <v>2732</v>
      </c>
      <c r="D41" s="11" t="s">
        <v>37</v>
      </c>
    </row>
    <row r="42" spans="1:22" x14ac:dyDescent="0.2">
      <c r="A42" s="11" t="s">
        <v>31</v>
      </c>
      <c r="B42" s="19">
        <v>0.7</v>
      </c>
      <c r="C42" s="20">
        <v>1915</v>
      </c>
      <c r="D42" s="11" t="s">
        <v>32</v>
      </c>
    </row>
    <row r="43" spans="1:22" x14ac:dyDescent="0.2">
      <c r="A43" s="11" t="s">
        <v>31</v>
      </c>
      <c r="B43" s="19">
        <v>0.66</v>
      </c>
      <c r="C43" s="20">
        <v>1885</v>
      </c>
      <c r="D43" s="11" t="s">
        <v>32</v>
      </c>
    </row>
    <row r="44" spans="1:22" x14ac:dyDescent="0.2">
      <c r="A44" s="11" t="s">
        <v>31</v>
      </c>
      <c r="B44" s="19">
        <v>0.62</v>
      </c>
      <c r="C44" s="20">
        <v>1397</v>
      </c>
      <c r="D44" s="11" t="s">
        <v>37</v>
      </c>
    </row>
    <row r="45" spans="1:22" x14ac:dyDescent="0.2">
      <c r="A45" s="11" t="s">
        <v>31</v>
      </c>
      <c r="B45" s="19">
        <v>0.52</v>
      </c>
      <c r="C45" s="20">
        <v>2555</v>
      </c>
      <c r="D45" s="11" t="s">
        <v>32</v>
      </c>
    </row>
    <row r="46" spans="1:22" x14ac:dyDescent="0.2">
      <c r="A46" s="11" t="s">
        <v>29</v>
      </c>
      <c r="B46" s="19">
        <v>0.51</v>
      </c>
      <c r="C46" s="20">
        <v>1337</v>
      </c>
      <c r="D46" s="11" t="s">
        <v>30</v>
      </c>
    </row>
    <row r="47" spans="1:22" x14ac:dyDescent="0.2">
      <c r="A47" s="11" t="s">
        <v>31</v>
      </c>
      <c r="B47" s="19">
        <v>0.51</v>
      </c>
      <c r="C47" s="20">
        <v>1558</v>
      </c>
      <c r="D47" s="11" t="s">
        <v>32</v>
      </c>
      <c r="M47" s="11" t="s">
        <v>43</v>
      </c>
      <c r="N47" s="21">
        <f>N50+1.5*(N50-N49)</f>
        <v>13135.5</v>
      </c>
      <c r="O47" s="11" t="s">
        <v>44</v>
      </c>
      <c r="P47" s="11"/>
      <c r="Q47" s="11" t="s">
        <v>43</v>
      </c>
      <c r="R47" s="11">
        <f>R50+1.5*(R50-R49)</f>
        <v>2.0200000000000005</v>
      </c>
      <c r="S47" s="11" t="s">
        <v>44</v>
      </c>
    </row>
    <row r="48" spans="1:22" x14ac:dyDescent="0.2">
      <c r="A48" s="11" t="s">
        <v>31</v>
      </c>
      <c r="B48" s="19">
        <v>0.45</v>
      </c>
      <c r="C48" s="20">
        <v>1191</v>
      </c>
      <c r="D48" s="11" t="s">
        <v>32</v>
      </c>
      <c r="M48" s="11" t="s">
        <v>45</v>
      </c>
      <c r="N48" s="21">
        <v>3733</v>
      </c>
      <c r="P48" s="11"/>
      <c r="Q48" s="11" t="s">
        <v>45</v>
      </c>
      <c r="R48" s="11">
        <v>0.84</v>
      </c>
    </row>
    <row r="49" spans="1:18" x14ac:dyDescent="0.2">
      <c r="A49" s="11" t="s">
        <v>29</v>
      </c>
      <c r="B49" s="19">
        <v>0.44</v>
      </c>
      <c r="C49" s="20">
        <v>1319</v>
      </c>
      <c r="D49" s="11" t="s">
        <v>34</v>
      </c>
      <c r="M49" s="11" t="s">
        <v>46</v>
      </c>
      <c r="N49" s="21">
        <v>1478</v>
      </c>
      <c r="O49" s="11"/>
      <c r="P49" s="11"/>
      <c r="Q49" s="11" t="s">
        <v>46</v>
      </c>
      <c r="R49" s="11">
        <v>0.52</v>
      </c>
    </row>
    <row r="50" spans="1:18" x14ac:dyDescent="0.2">
      <c r="A50" s="11" t="s">
        <v>36</v>
      </c>
      <c r="B50" s="19">
        <v>0.44</v>
      </c>
      <c r="C50" s="20">
        <v>1319</v>
      </c>
      <c r="D50" s="11" t="s">
        <v>32</v>
      </c>
      <c r="M50" s="11" t="s">
        <v>47</v>
      </c>
      <c r="N50" s="21">
        <v>6141</v>
      </c>
      <c r="O50" s="11"/>
      <c r="P50" s="11"/>
      <c r="Q50" s="11" t="s">
        <v>47</v>
      </c>
      <c r="R50" s="11">
        <v>1.1200000000000001</v>
      </c>
    </row>
    <row r="51" spans="1:18" x14ac:dyDescent="0.2">
      <c r="A51" s="11" t="s">
        <v>31</v>
      </c>
      <c r="B51" s="19">
        <v>0.4</v>
      </c>
      <c r="C51" s="20">
        <v>1133</v>
      </c>
      <c r="D51" s="11" t="s">
        <v>32</v>
      </c>
    </row>
    <row r="52" spans="1:18" x14ac:dyDescent="0.2">
      <c r="A52" s="11" t="s">
        <v>31</v>
      </c>
      <c r="B52" s="19">
        <v>0.35</v>
      </c>
      <c r="C52" s="20">
        <v>1354</v>
      </c>
      <c r="D52" s="11" t="s">
        <v>37</v>
      </c>
    </row>
    <row r="53" spans="1:18" x14ac:dyDescent="0.2">
      <c r="A53" s="11" t="s">
        <v>31</v>
      </c>
      <c r="B53" s="19">
        <v>0.32</v>
      </c>
      <c r="C53" s="20">
        <v>896</v>
      </c>
      <c r="D53" s="11" t="s">
        <v>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F4116-F7E6-4110-9134-C448D1CBB850}">
  <dimension ref="A9:E16"/>
  <sheetViews>
    <sheetView tabSelected="1" workbookViewId="0">
      <selection activeCell="F25" sqref="F25"/>
    </sheetView>
  </sheetViews>
  <sheetFormatPr defaultRowHeight="12" x14ac:dyDescent="0.2"/>
  <sheetData>
    <row r="9" spans="1:5" x14ac:dyDescent="0.2">
      <c r="A9" t="s">
        <v>56</v>
      </c>
    </row>
    <row r="10" spans="1:5" x14ac:dyDescent="0.2">
      <c r="A10">
        <v>3</v>
      </c>
      <c r="D10" s="25" t="s">
        <v>14</v>
      </c>
      <c r="E10" s="26">
        <f>AVERAGE(A:A)</f>
        <v>7.7142857142857144</v>
      </c>
    </row>
    <row r="11" spans="1:5" x14ac:dyDescent="0.2">
      <c r="A11">
        <v>12</v>
      </c>
      <c r="D11" s="25" t="s">
        <v>2</v>
      </c>
      <c r="E11" s="26">
        <f>MEDIAN(A:A)</f>
        <v>8</v>
      </c>
    </row>
    <row r="12" spans="1:5" x14ac:dyDescent="0.2">
      <c r="A12">
        <v>13</v>
      </c>
      <c r="D12" s="25" t="s">
        <v>15</v>
      </c>
      <c r="E12" s="26">
        <f>_xlfn.STDEV.S(A:A)</f>
        <v>3.9036002917941333</v>
      </c>
    </row>
    <row r="13" spans="1:5" x14ac:dyDescent="0.2">
      <c r="A13">
        <v>7</v>
      </c>
    </row>
    <row r="14" spans="1:5" x14ac:dyDescent="0.2">
      <c r="A14">
        <v>8</v>
      </c>
      <c r="D14" s="4" t="s">
        <v>58</v>
      </c>
      <c r="E14" s="4"/>
    </row>
    <row r="15" spans="1:5" x14ac:dyDescent="0.2">
      <c r="A15">
        <v>3</v>
      </c>
      <c r="D15" s="7" t="s">
        <v>57</v>
      </c>
      <c r="E15" s="9">
        <f>3*(E10-E11)/E12</f>
        <v>-0.21957751641341983</v>
      </c>
    </row>
    <row r="16" spans="1:5" x14ac:dyDescent="0.2">
      <c r="A16">
        <v>8</v>
      </c>
      <c r="D16" s="7" t="s">
        <v>59</v>
      </c>
      <c r="E16" s="9">
        <f>SKEW(A:A)</f>
        <v>6.4843985315838085E-2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90025-A155-4FBB-AAE7-BEBBEE7AF7F0}">
  <dimension ref="A1:G54"/>
  <sheetViews>
    <sheetView showRuler="0" workbookViewId="0">
      <selection activeCell="H9" sqref="H9"/>
    </sheetView>
  </sheetViews>
  <sheetFormatPr defaultColWidth="12.5703125" defaultRowHeight="15" x14ac:dyDescent="0.25"/>
  <cols>
    <col min="1" max="2" width="12.5703125" style="29"/>
    <col min="3" max="3" width="3" style="29" bestFit="1" customWidth="1"/>
    <col min="4" max="5" width="12.5703125" style="29"/>
    <col min="6" max="6" width="14.28515625" style="29" bestFit="1" customWidth="1"/>
    <col min="7" max="16384" width="12.5703125" style="29"/>
  </cols>
  <sheetData>
    <row r="1" spans="1:7" x14ac:dyDescent="0.25">
      <c r="A1" s="29" t="s">
        <v>122</v>
      </c>
    </row>
    <row r="2" spans="1:7" x14ac:dyDescent="0.25">
      <c r="A2" s="29" t="s">
        <v>60</v>
      </c>
      <c r="B2" s="29" t="s">
        <v>61</v>
      </c>
      <c r="D2" s="29" t="s">
        <v>120</v>
      </c>
      <c r="F2" s="29" t="s">
        <v>14</v>
      </c>
      <c r="G2" s="30">
        <f>AVERAGE(B:B)</f>
        <v>57496.826923076922</v>
      </c>
    </row>
    <row r="3" spans="1:7" x14ac:dyDescent="0.25">
      <c r="A3" s="29" t="s">
        <v>95</v>
      </c>
      <c r="B3" s="31">
        <v>19775</v>
      </c>
      <c r="C3" s="29">
        <f>C2+1</f>
        <v>1</v>
      </c>
      <c r="D3" s="29">
        <f>(B3-$G$2)/$G$3</f>
        <v>-3.4265961948976096</v>
      </c>
      <c r="F3" s="29" t="s">
        <v>64</v>
      </c>
      <c r="G3" s="30">
        <f>_xlfn.STDEV.P(B:B)</f>
        <v>11008.541648195021</v>
      </c>
    </row>
    <row r="4" spans="1:7" x14ac:dyDescent="0.25">
      <c r="A4" s="29" t="s">
        <v>116</v>
      </c>
      <c r="B4" s="31">
        <v>42009</v>
      </c>
      <c r="C4" s="29">
        <f>C3+1</f>
        <v>2</v>
      </c>
      <c r="D4" s="29">
        <f t="shared" ref="D4:D54" si="0">(B4-$G$2)/$G$3</f>
        <v>-1.4068917953011815</v>
      </c>
      <c r="F4" s="29" t="s">
        <v>2</v>
      </c>
      <c r="G4" s="30">
        <f>MEDIAN(B:B)</f>
        <v>56344.5</v>
      </c>
    </row>
    <row r="5" spans="1:7" x14ac:dyDescent="0.25">
      <c r="A5" s="29" t="s">
        <v>70</v>
      </c>
      <c r="B5" s="31">
        <v>43813</v>
      </c>
      <c r="C5" s="29">
        <f>C4+1</f>
        <v>3</v>
      </c>
      <c r="D5" s="29">
        <f t="shared" si="0"/>
        <v>-1.2430190446997622</v>
      </c>
      <c r="F5" s="29" t="s">
        <v>69</v>
      </c>
      <c r="G5" s="32">
        <f>G3/G2</f>
        <v>0.19146346393902711</v>
      </c>
    </row>
    <row r="6" spans="1:7" x14ac:dyDescent="0.25">
      <c r="A6" s="29" t="s">
        <v>115</v>
      </c>
      <c r="B6" s="31">
        <v>44061</v>
      </c>
      <c r="C6" s="29">
        <f>C5+1</f>
        <v>4</v>
      </c>
      <c r="D6" s="29">
        <f t="shared" si="0"/>
        <v>-1.2204910834197444</v>
      </c>
      <c r="F6" s="29" t="s">
        <v>121</v>
      </c>
      <c r="G6" s="29">
        <f>3*(G2-G4)/G3</f>
        <v>0.31402713272176047</v>
      </c>
    </row>
    <row r="7" spans="1:7" x14ac:dyDescent="0.25">
      <c r="A7" s="29" t="s">
        <v>62</v>
      </c>
      <c r="B7" s="31">
        <v>46472</v>
      </c>
      <c r="C7" s="29">
        <f>C6+1</f>
        <v>5</v>
      </c>
      <c r="D7" s="29">
        <f t="shared" si="0"/>
        <v>-1.001479330814411</v>
      </c>
    </row>
    <row r="8" spans="1:7" x14ac:dyDescent="0.25">
      <c r="A8" s="29" t="s">
        <v>102</v>
      </c>
      <c r="B8" s="31">
        <v>46535</v>
      </c>
      <c r="C8" s="29">
        <f>C7+1</f>
        <v>6</v>
      </c>
      <c r="D8" s="29">
        <f t="shared" si="0"/>
        <v>-0.99575650194085796</v>
      </c>
      <c r="F8" s="29" t="s">
        <v>76</v>
      </c>
      <c r="G8" s="29">
        <f>COUNT(B:B)-1</f>
        <v>51</v>
      </c>
    </row>
    <row r="9" spans="1:7" x14ac:dyDescent="0.25">
      <c r="A9" s="29" t="s">
        <v>104</v>
      </c>
      <c r="B9" s="31">
        <v>46710</v>
      </c>
      <c r="C9" s="29">
        <f>C8+1</f>
        <v>7</v>
      </c>
      <c r="D9" s="29">
        <f t="shared" si="0"/>
        <v>-0.97985975506987777</v>
      </c>
      <c r="F9" s="29" t="s">
        <v>79</v>
      </c>
      <c r="G9" s="30">
        <f>_xlfn.QUARTILE.EXC(B:B,1)</f>
        <v>50821.5</v>
      </c>
    </row>
    <row r="10" spans="1:7" x14ac:dyDescent="0.25">
      <c r="A10" s="29" t="s">
        <v>75</v>
      </c>
      <c r="B10" s="31">
        <v>46718</v>
      </c>
      <c r="C10" s="29">
        <f>C9+1</f>
        <v>8</v>
      </c>
      <c r="D10" s="29">
        <f t="shared" si="0"/>
        <v>-0.97913304664149003</v>
      </c>
      <c r="F10" s="29" t="s">
        <v>82</v>
      </c>
      <c r="G10" s="30">
        <f>_xlfn.QUARTILE.EXC(B:B,3)</f>
        <v>65424.75</v>
      </c>
    </row>
    <row r="11" spans="1:7" x14ac:dyDescent="0.25">
      <c r="A11" s="29" t="s">
        <v>103</v>
      </c>
      <c r="B11" s="31">
        <v>48708</v>
      </c>
      <c r="C11" s="29">
        <f>C10+1</f>
        <v>9</v>
      </c>
      <c r="D11" s="29">
        <f t="shared" si="0"/>
        <v>-0.7983643250800575</v>
      </c>
      <c r="F11" s="29" t="s">
        <v>85</v>
      </c>
      <c r="G11" s="30">
        <f>_xlfn.PERCENTILE.EXC(B:B,0.33)</f>
        <v>52292.25</v>
      </c>
    </row>
    <row r="12" spans="1:7" x14ac:dyDescent="0.25">
      <c r="A12" s="29" t="s">
        <v>99</v>
      </c>
      <c r="B12" s="31">
        <v>48781</v>
      </c>
      <c r="C12" s="29">
        <f>C11+1</f>
        <v>10</v>
      </c>
      <c r="D12" s="29">
        <f t="shared" si="0"/>
        <v>-0.79173311067102004</v>
      </c>
    </row>
    <row r="13" spans="1:7" x14ac:dyDescent="0.25">
      <c r="A13" s="29" t="s">
        <v>89</v>
      </c>
      <c r="B13" s="31">
        <v>49767</v>
      </c>
      <c r="C13" s="29">
        <f>C12+1</f>
        <v>11</v>
      </c>
      <c r="D13" s="29">
        <f t="shared" si="0"/>
        <v>-0.70216629687223986</v>
      </c>
    </row>
    <row r="14" spans="1:7" x14ac:dyDescent="0.25">
      <c r="A14" s="29" t="s">
        <v>81</v>
      </c>
      <c r="B14" s="31">
        <v>50320</v>
      </c>
      <c r="C14" s="29">
        <f>C13+1</f>
        <v>12</v>
      </c>
      <c r="D14" s="29">
        <f t="shared" si="0"/>
        <v>-0.65193257675994221</v>
      </c>
    </row>
    <row r="15" spans="1:7" x14ac:dyDescent="0.25">
      <c r="A15" s="29" t="s">
        <v>63</v>
      </c>
      <c r="B15" s="31">
        <v>50801</v>
      </c>
      <c r="C15" s="29">
        <f>C14+1</f>
        <v>13</v>
      </c>
      <c r="D15" s="29">
        <f t="shared" si="0"/>
        <v>-0.60823923250313372</v>
      </c>
    </row>
    <row r="16" spans="1:7" x14ac:dyDescent="0.25">
      <c r="A16" s="29" t="s">
        <v>86</v>
      </c>
      <c r="B16" s="31">
        <v>50883</v>
      </c>
      <c r="C16" s="29">
        <f>C15+1</f>
        <v>14</v>
      </c>
      <c r="D16" s="29">
        <f t="shared" si="0"/>
        <v>-0.60079047111216011</v>
      </c>
    </row>
    <row r="17" spans="1:4" x14ac:dyDescent="0.25">
      <c r="A17" s="29" t="s">
        <v>92</v>
      </c>
      <c r="B17" s="31">
        <v>50985</v>
      </c>
      <c r="C17" s="29">
        <f>C16+1</f>
        <v>15</v>
      </c>
      <c r="D17" s="29">
        <f t="shared" si="0"/>
        <v>-0.59152493865021727</v>
      </c>
    </row>
    <row r="18" spans="1:4" x14ac:dyDescent="0.25">
      <c r="A18" s="29" t="s">
        <v>118</v>
      </c>
      <c r="B18" s="31">
        <v>51542</v>
      </c>
      <c r="C18" s="29">
        <f>C17+1</f>
        <v>16</v>
      </c>
      <c r="D18" s="29">
        <f t="shared" si="0"/>
        <v>-0.54092786432372586</v>
      </c>
    </row>
    <row r="19" spans="1:4" x14ac:dyDescent="0.25">
      <c r="A19" s="29" t="s">
        <v>96</v>
      </c>
      <c r="B19" s="31">
        <v>52182</v>
      </c>
      <c r="C19" s="29">
        <f>C18+1</f>
        <v>17</v>
      </c>
      <c r="D19" s="29">
        <f t="shared" si="0"/>
        <v>-0.48279119005271237</v>
      </c>
    </row>
    <row r="20" spans="1:4" x14ac:dyDescent="0.25">
      <c r="A20" s="29" t="s">
        <v>87</v>
      </c>
      <c r="B20" s="31">
        <v>52407</v>
      </c>
      <c r="C20" s="29">
        <f>C19+1</f>
        <v>18</v>
      </c>
      <c r="D20" s="29">
        <f t="shared" si="0"/>
        <v>-0.46235251550430917</v>
      </c>
    </row>
    <row r="21" spans="1:4" x14ac:dyDescent="0.25">
      <c r="A21" s="29" t="s">
        <v>112</v>
      </c>
      <c r="B21" s="31">
        <v>52668</v>
      </c>
      <c r="C21" s="29">
        <f>C20+1</f>
        <v>19</v>
      </c>
      <c r="D21" s="29">
        <f t="shared" si="0"/>
        <v>-0.4386436530281615</v>
      </c>
    </row>
    <row r="22" spans="1:4" x14ac:dyDescent="0.25">
      <c r="A22" s="29" t="s">
        <v>88</v>
      </c>
      <c r="B22" s="31">
        <v>52977</v>
      </c>
      <c r="C22" s="29">
        <f>C21+1</f>
        <v>20</v>
      </c>
      <c r="D22" s="29">
        <f t="shared" si="0"/>
        <v>-0.4105745399816878</v>
      </c>
    </row>
    <row r="23" spans="1:4" x14ac:dyDescent="0.25">
      <c r="A23" s="29" t="s">
        <v>106</v>
      </c>
      <c r="B23" s="31">
        <v>53024</v>
      </c>
      <c r="C23" s="29">
        <f>C22+1</f>
        <v>21</v>
      </c>
      <c r="D23" s="29">
        <f t="shared" si="0"/>
        <v>-0.40630512796491025</v>
      </c>
    </row>
    <row r="24" spans="1:4" x14ac:dyDescent="0.25">
      <c r="A24" s="29" t="s">
        <v>67</v>
      </c>
      <c r="B24" s="31">
        <v>53510</v>
      </c>
      <c r="C24" s="29">
        <f>C23+1</f>
        <v>22</v>
      </c>
      <c r="D24" s="29">
        <f t="shared" si="0"/>
        <v>-0.36215759094035938</v>
      </c>
    </row>
    <row r="25" spans="1:4" x14ac:dyDescent="0.25">
      <c r="A25" s="29" t="s">
        <v>101</v>
      </c>
      <c r="B25" s="31">
        <v>54126</v>
      </c>
      <c r="C25" s="29">
        <f>C24+1</f>
        <v>23</v>
      </c>
      <c r="D25" s="29">
        <f t="shared" si="0"/>
        <v>-0.30620104195450887</v>
      </c>
    </row>
    <row r="26" spans="1:4" x14ac:dyDescent="0.25">
      <c r="A26" s="29" t="s">
        <v>68</v>
      </c>
      <c r="B26" s="31">
        <v>55434</v>
      </c>
      <c r="C26" s="29">
        <f>C25+1</f>
        <v>24</v>
      </c>
      <c r="D26" s="29">
        <f t="shared" si="0"/>
        <v>-0.18738421391312504</v>
      </c>
    </row>
    <row r="27" spans="1:4" x14ac:dyDescent="0.25">
      <c r="A27" s="29" t="s">
        <v>100</v>
      </c>
      <c r="B27" s="31">
        <v>55477</v>
      </c>
      <c r="C27" s="29">
        <f>C26+1</f>
        <v>25</v>
      </c>
      <c r="D27" s="29">
        <f t="shared" si="0"/>
        <v>-0.18347815611054133</v>
      </c>
    </row>
    <row r="28" spans="1:4" x14ac:dyDescent="0.25">
      <c r="A28" s="29" t="s">
        <v>91</v>
      </c>
      <c r="B28" s="31">
        <v>56119</v>
      </c>
      <c r="C28" s="29">
        <f>C27+1</f>
        <v>26</v>
      </c>
      <c r="D28" s="29">
        <f t="shared" si="0"/>
        <v>-0.12515980473243091</v>
      </c>
    </row>
    <row r="29" spans="1:4" x14ac:dyDescent="0.25">
      <c r="A29" s="29" t="s">
        <v>98</v>
      </c>
      <c r="B29" s="31">
        <v>56570</v>
      </c>
      <c r="C29" s="29">
        <f>C28+1</f>
        <v>27</v>
      </c>
      <c r="D29" s="29">
        <f t="shared" si="0"/>
        <v>-8.4191617082076078E-2</v>
      </c>
    </row>
    <row r="30" spans="1:4" x14ac:dyDescent="0.25">
      <c r="A30" s="29" t="s">
        <v>66</v>
      </c>
      <c r="B30" s="31">
        <v>56675</v>
      </c>
      <c r="C30" s="29">
        <f>C29+1</f>
        <v>28</v>
      </c>
      <c r="D30" s="29">
        <f t="shared" si="0"/>
        <v>-7.4653568959487937E-2</v>
      </c>
    </row>
    <row r="31" spans="1:4" x14ac:dyDescent="0.25">
      <c r="A31" s="29" t="s">
        <v>117</v>
      </c>
      <c r="B31" s="31">
        <v>56759</v>
      </c>
      <c r="C31" s="29">
        <f>C30+1</f>
        <v>29</v>
      </c>
      <c r="D31" s="29">
        <f t="shared" si="0"/>
        <v>-6.7023130461417404E-2</v>
      </c>
    </row>
    <row r="32" spans="1:4" x14ac:dyDescent="0.25">
      <c r="A32" s="29" t="s">
        <v>93</v>
      </c>
      <c r="B32" s="31">
        <v>56951</v>
      </c>
      <c r="C32" s="29">
        <f>C31+1</f>
        <v>30</v>
      </c>
      <c r="D32" s="29">
        <f t="shared" si="0"/>
        <v>-4.9582128180113358E-2</v>
      </c>
    </row>
    <row r="33" spans="1:4" x14ac:dyDescent="0.25">
      <c r="A33" s="29" t="s">
        <v>105</v>
      </c>
      <c r="B33" s="31">
        <v>57051</v>
      </c>
      <c r="C33" s="29">
        <f>C32+1</f>
        <v>31</v>
      </c>
      <c r="D33" s="29">
        <f t="shared" si="0"/>
        <v>-4.0498272825267502E-2</v>
      </c>
    </row>
    <row r="34" spans="1:4" x14ac:dyDescent="0.25">
      <c r="A34" s="29" t="s">
        <v>109</v>
      </c>
      <c r="B34" s="31">
        <v>57808</v>
      </c>
      <c r="C34" s="29">
        <f>C33+1</f>
        <v>32</v>
      </c>
      <c r="D34" s="29">
        <f t="shared" si="0"/>
        <v>2.8266512210915647E-2</v>
      </c>
    </row>
    <row r="35" spans="1:4" x14ac:dyDescent="0.25">
      <c r="A35" s="29" t="s">
        <v>119</v>
      </c>
      <c r="B35" s="31">
        <v>60938</v>
      </c>
      <c r="C35" s="29">
        <f>C34+1</f>
        <v>33</v>
      </c>
      <c r="D35" s="29">
        <f t="shared" si="0"/>
        <v>0.31259118481759102</v>
      </c>
    </row>
    <row r="36" spans="1:4" x14ac:dyDescent="0.25">
      <c r="A36" s="29" t="s">
        <v>97</v>
      </c>
      <c r="B36" s="31">
        <v>61043</v>
      </c>
      <c r="C36" s="29">
        <f>C35+1</f>
        <v>34</v>
      </c>
      <c r="D36" s="29">
        <f t="shared" si="0"/>
        <v>0.3221292329401792</v>
      </c>
    </row>
    <row r="37" spans="1:4" x14ac:dyDescent="0.25">
      <c r="A37" s="29" t="s">
        <v>94</v>
      </c>
      <c r="B37" s="31">
        <v>61229</v>
      </c>
      <c r="C37" s="29">
        <f>C36+1</f>
        <v>35</v>
      </c>
      <c r="D37" s="29">
        <f t="shared" si="0"/>
        <v>0.33902520390019247</v>
      </c>
    </row>
    <row r="38" spans="1:4" x14ac:dyDescent="0.25">
      <c r="A38" s="29" t="s">
        <v>84</v>
      </c>
      <c r="B38" s="31">
        <v>61285</v>
      </c>
      <c r="C38" s="29">
        <f>C37+1</f>
        <v>36</v>
      </c>
      <c r="D38" s="29">
        <f t="shared" si="0"/>
        <v>0.34411216289890617</v>
      </c>
    </row>
    <row r="39" spans="1:4" x14ac:dyDescent="0.25">
      <c r="A39" s="29" t="s">
        <v>78</v>
      </c>
      <c r="B39" s="31">
        <v>62765</v>
      </c>
      <c r="C39" s="29">
        <f>C38+1</f>
        <v>37</v>
      </c>
      <c r="D39" s="29">
        <f t="shared" si="0"/>
        <v>0.47855322215062485</v>
      </c>
    </row>
    <row r="40" spans="1:4" x14ac:dyDescent="0.25">
      <c r="A40" s="29" t="s">
        <v>80</v>
      </c>
      <c r="B40" s="31">
        <v>63036</v>
      </c>
      <c r="C40" s="29">
        <f>C39+1</f>
        <v>38</v>
      </c>
      <c r="D40" s="29">
        <f t="shared" si="0"/>
        <v>0.50317047016225713</v>
      </c>
    </row>
    <row r="41" spans="1:4" x14ac:dyDescent="0.25">
      <c r="A41" s="29" t="s">
        <v>107</v>
      </c>
      <c r="B41" s="31">
        <v>65325</v>
      </c>
      <c r="C41" s="29">
        <f>C40+1</f>
        <v>39</v>
      </c>
      <c r="D41" s="29">
        <f t="shared" si="0"/>
        <v>0.71109991923467886</v>
      </c>
    </row>
    <row r="42" spans="1:4" x14ac:dyDescent="0.25">
      <c r="A42" s="29" t="s">
        <v>74</v>
      </c>
      <c r="B42" s="31">
        <v>65458</v>
      </c>
      <c r="C42" s="29">
        <f>C41+1</f>
        <v>40</v>
      </c>
      <c r="D42" s="29">
        <f t="shared" si="0"/>
        <v>0.72318144685662378</v>
      </c>
    </row>
    <row r="43" spans="1:4" x14ac:dyDescent="0.25">
      <c r="A43" s="29" t="s">
        <v>114</v>
      </c>
      <c r="B43" s="31">
        <v>65699</v>
      </c>
      <c r="C43" s="29">
        <f>C42+1</f>
        <v>41</v>
      </c>
      <c r="D43" s="29">
        <f t="shared" si="0"/>
        <v>0.74507353826180234</v>
      </c>
    </row>
    <row r="44" spans="1:4" x14ac:dyDescent="0.25">
      <c r="A44" s="29" t="s">
        <v>113</v>
      </c>
      <c r="B44" s="31">
        <v>66174</v>
      </c>
      <c r="C44" s="29">
        <f>C43+1</f>
        <v>42</v>
      </c>
      <c r="D44" s="29">
        <f t="shared" si="0"/>
        <v>0.78822185119732013</v>
      </c>
    </row>
    <row r="45" spans="1:4" x14ac:dyDescent="0.25">
      <c r="A45" s="29" t="s">
        <v>72</v>
      </c>
      <c r="B45" s="31">
        <v>67169</v>
      </c>
      <c r="C45" s="29">
        <f>C44+1</f>
        <v>43</v>
      </c>
      <c r="D45" s="29">
        <f t="shared" si="0"/>
        <v>0.87860621197803646</v>
      </c>
    </row>
    <row r="46" spans="1:4" x14ac:dyDescent="0.25">
      <c r="A46" s="29" t="s">
        <v>111</v>
      </c>
      <c r="B46" s="31">
        <v>68766</v>
      </c>
      <c r="C46" s="29">
        <f>C45+1</f>
        <v>44</v>
      </c>
      <c r="D46" s="29">
        <f t="shared" si="0"/>
        <v>1.0236753819949249</v>
      </c>
    </row>
    <row r="47" spans="1:4" x14ac:dyDescent="0.25">
      <c r="A47" s="29" t="s">
        <v>71</v>
      </c>
      <c r="B47" s="31">
        <v>71305</v>
      </c>
      <c r="C47" s="29">
        <f>C46+1</f>
        <v>45</v>
      </c>
      <c r="D47" s="29">
        <f t="shared" si="0"/>
        <v>1.2543144694544612</v>
      </c>
    </row>
    <row r="48" spans="1:4" x14ac:dyDescent="0.25">
      <c r="A48" s="29" t="s">
        <v>77</v>
      </c>
      <c r="B48" s="31">
        <v>73781</v>
      </c>
      <c r="C48" s="29">
        <f>C47+1</f>
        <v>46</v>
      </c>
      <c r="D48" s="29">
        <f t="shared" si="0"/>
        <v>1.4792307280404446</v>
      </c>
    </row>
    <row r="49" spans="1:4" x14ac:dyDescent="0.25">
      <c r="A49" s="29" t="s">
        <v>110</v>
      </c>
      <c r="B49" s="31">
        <v>74167</v>
      </c>
      <c r="C49" s="29">
        <f>C48+1</f>
        <v>47</v>
      </c>
      <c r="D49" s="29">
        <f t="shared" si="0"/>
        <v>1.5142944097101496</v>
      </c>
    </row>
    <row r="50" spans="1:4" x14ac:dyDescent="0.25">
      <c r="A50" s="29" t="s">
        <v>90</v>
      </c>
      <c r="B50" s="31">
        <v>74923</v>
      </c>
      <c r="C50" s="29">
        <f>C49+1</f>
        <v>48</v>
      </c>
      <c r="D50" s="29">
        <f t="shared" si="0"/>
        <v>1.5829683561927843</v>
      </c>
    </row>
    <row r="51" spans="1:4" x14ac:dyDescent="0.25">
      <c r="A51" s="29" t="s">
        <v>65</v>
      </c>
      <c r="B51" s="31">
        <v>76114</v>
      </c>
      <c r="C51" s="29">
        <f>C50+1</f>
        <v>49</v>
      </c>
      <c r="D51" s="29">
        <f t="shared" si="0"/>
        <v>1.6911570734689985</v>
      </c>
    </row>
    <row r="52" spans="1:4" x14ac:dyDescent="0.25">
      <c r="A52" s="29" t="s">
        <v>73</v>
      </c>
      <c r="B52" s="31">
        <v>76475</v>
      </c>
      <c r="C52" s="29">
        <f>C51+1</f>
        <v>50</v>
      </c>
      <c r="D52" s="29">
        <f t="shared" si="0"/>
        <v>1.7239497912999922</v>
      </c>
    </row>
    <row r="53" spans="1:4" x14ac:dyDescent="0.25">
      <c r="A53" s="29" t="s">
        <v>83</v>
      </c>
      <c r="B53" s="31">
        <v>77649</v>
      </c>
      <c r="C53" s="29">
        <f>C52+1</f>
        <v>51</v>
      </c>
      <c r="D53" s="29">
        <f t="shared" si="0"/>
        <v>1.8305942531658825</v>
      </c>
    </row>
    <row r="54" spans="1:4" x14ac:dyDescent="0.25">
      <c r="A54" s="29" t="s">
        <v>108</v>
      </c>
      <c r="B54" s="31">
        <v>78916</v>
      </c>
      <c r="C54" s="29">
        <f>C53+1</f>
        <v>52</v>
      </c>
      <c r="D54" s="29">
        <f t="shared" si="0"/>
        <v>1.9456867005117795</v>
      </c>
    </row>
  </sheetData>
  <sortState xmlns:xlrd2="http://schemas.microsoft.com/office/spreadsheetml/2017/richdata2" ref="A3:C54">
    <sortCondition ref="B3:B54"/>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4.5</vt:lpstr>
      <vt:lpstr>4.9</vt:lpstr>
      <vt:lpstr>4.13</vt:lpstr>
      <vt:lpstr>4.15</vt:lpstr>
      <vt:lpstr>4.25</vt:lpstr>
      <vt:lpstr>4.29</vt:lpstr>
      <vt:lpstr>4.31</vt:lpstr>
      <vt:lpstr>Median Household Income by Stat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dc:creator>
  <cp:lastModifiedBy>Eric</cp:lastModifiedBy>
  <dcterms:created xsi:type="dcterms:W3CDTF">2020-08-29T01:28:22Z</dcterms:created>
  <dcterms:modified xsi:type="dcterms:W3CDTF">2020-09-10T03:07:54Z</dcterms:modified>
</cp:coreProperties>
</file>