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Eric\Desktop\"/>
    </mc:Choice>
  </mc:AlternateContent>
  <xr:revisionPtr revIDLastSave="0" documentId="13_ncr:1_{3745C070-D728-4AA9-865B-F34F65AFEAB3}" xr6:coauthVersionLast="45" xr6:coauthVersionMax="45" xr10:uidLastSave="{00000000-0000-0000-0000-000000000000}"/>
  <bookViews>
    <workbookView xWindow="-120" yWindow="-120" windowWidth="29040" windowHeight="15840" tabRatio="922" xr2:uid="{39856AD9-BEBD-4883-887C-DCC6FA625468}"/>
  </bookViews>
  <sheets>
    <sheet name="2-sampleHypoTest BothSigmaKnown" sheetId="26" r:id="rId1"/>
    <sheet name="2-sampleHypoTest UnknownSigmas" sheetId="29" r:id="rId2"/>
    <sheet name="2-sampleHypoTest UnequalSigma" sheetId="28" r:id="rId3"/>
    <sheet name="2-sampleHypoTest DependentSampl" sheetId="27" r:id="rId4"/>
  </sheets>
  <externalReferences>
    <externalReference r:id="rId5"/>
  </externalReferences>
  <definedNames>
    <definedName name="_hypTest_known_sigma">#REF!</definedName>
    <definedName name="_hypTest_unknown_sigma">#REF!</definedName>
    <definedName name="_randVar">'[1]When to use what formula'!$J$10</definedName>
    <definedName name="_success">'[1]When to use what formula'!$J$13</definedName>
    <definedName name="_t_table">#REF!</definedName>
    <definedName name="_verify_type_II_error">#REF!</definedName>
    <definedName name="_z_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6" i="27" l="1"/>
  <c r="F125" i="27"/>
  <c r="F124" i="27"/>
  <c r="F123" i="27"/>
  <c r="F122" i="27"/>
  <c r="F121" i="27"/>
  <c r="F120" i="27"/>
  <c r="F119" i="27"/>
  <c r="S107" i="27"/>
  <c r="V102" i="27"/>
  <c r="U102" i="27"/>
  <c r="P102" i="27"/>
  <c r="U96" i="27"/>
  <c r="P94" i="27"/>
  <c r="P93" i="27"/>
  <c r="O93" i="27"/>
  <c r="P92" i="27"/>
  <c r="O92" i="27"/>
  <c r="V91" i="27"/>
  <c r="U91" i="27"/>
  <c r="P91" i="27"/>
  <c r="O91" i="27"/>
  <c r="U94" i="27" s="1"/>
  <c r="U90" i="27"/>
  <c r="S26" i="27"/>
  <c r="S25" i="27"/>
  <c r="F85" i="27"/>
  <c r="F84" i="27"/>
  <c r="F83" i="27"/>
  <c r="F82" i="27"/>
  <c r="F81" i="27"/>
  <c r="F80" i="27"/>
  <c r="F79" i="27"/>
  <c r="F78" i="27"/>
  <c r="S66" i="27"/>
  <c r="P65" i="27"/>
  <c r="V61" i="27"/>
  <c r="U61" i="27"/>
  <c r="P61" i="27"/>
  <c r="P53" i="27"/>
  <c r="P52" i="27"/>
  <c r="O52" i="27"/>
  <c r="P51" i="27"/>
  <c r="O51" i="27"/>
  <c r="V50" i="27"/>
  <c r="U50" i="27"/>
  <c r="P50" i="27"/>
  <c r="V62" i="27" s="1"/>
  <c r="O50" i="27"/>
  <c r="U53" i="27" s="1"/>
  <c r="U49" i="27"/>
  <c r="T24" i="29"/>
  <c r="S25" i="29" s="1"/>
  <c r="T24" i="28"/>
  <c r="T53" i="28"/>
  <c r="T83" i="28"/>
  <c r="O12" i="26"/>
  <c r="O11" i="26"/>
  <c r="S25" i="28"/>
  <c r="U63" i="28"/>
  <c r="O65" i="28"/>
  <c r="U74" i="28" s="1"/>
  <c r="O66" i="28"/>
  <c r="P64" i="28"/>
  <c r="V67" i="28" s="1"/>
  <c r="P65" i="28"/>
  <c r="P66" i="28"/>
  <c r="O64" i="28"/>
  <c r="P63" i="28"/>
  <c r="V64" i="28" s="1"/>
  <c r="O63" i="28"/>
  <c r="U64" i="28" s="1"/>
  <c r="S85" i="28"/>
  <c r="S80" i="28"/>
  <c r="V76" i="28"/>
  <c r="P75" i="28"/>
  <c r="U67" i="28"/>
  <c r="P67" i="28"/>
  <c r="N40" i="28"/>
  <c r="N41" i="28"/>
  <c r="U33" i="28" s="1"/>
  <c r="U46" i="28"/>
  <c r="S55" i="28"/>
  <c r="S50" i="28"/>
  <c r="P49" i="28"/>
  <c r="P48" i="28"/>
  <c r="V46" i="28"/>
  <c r="V45" i="28"/>
  <c r="U45" i="28"/>
  <c r="P45" i="28"/>
  <c r="U44" i="28"/>
  <c r="V37" i="28"/>
  <c r="U37" i="28"/>
  <c r="P37" i="28"/>
  <c r="V35" i="28"/>
  <c r="V36" i="28" s="1"/>
  <c r="U35" i="28"/>
  <c r="V34" i="28"/>
  <c r="U34" i="28"/>
  <c r="U5" i="29"/>
  <c r="V5" i="29" s="1"/>
  <c r="V17" i="29"/>
  <c r="U17" i="29"/>
  <c r="V12" i="29"/>
  <c r="U14" i="29" s="1"/>
  <c r="U18" i="29" s="1"/>
  <c r="U12" i="29"/>
  <c r="U13" i="29"/>
  <c r="V11" i="29"/>
  <c r="U11" i="29"/>
  <c r="U4" i="28"/>
  <c r="U10" i="28" s="1"/>
  <c r="V10" i="28" s="1"/>
  <c r="U5" i="28"/>
  <c r="V5" i="28"/>
  <c r="U6" i="28"/>
  <c r="U7" i="28" s="1"/>
  <c r="V6" i="28"/>
  <c r="V7" i="28" s="1"/>
  <c r="U8" i="28"/>
  <c r="V8" i="28"/>
  <c r="U15" i="28"/>
  <c r="U16" i="28"/>
  <c r="V16" i="28"/>
  <c r="U17" i="28"/>
  <c r="V17" i="28"/>
  <c r="S21" i="28"/>
  <c r="S26" i="28"/>
  <c r="S26" i="29"/>
  <c r="S21" i="29"/>
  <c r="V16" i="29"/>
  <c r="U16" i="29"/>
  <c r="U15" i="29"/>
  <c r="P20" i="29"/>
  <c r="P22" i="29" s="1"/>
  <c r="T18" i="29" s="1"/>
  <c r="P17" i="29"/>
  <c r="O13" i="29"/>
  <c r="U4" i="29" s="1"/>
  <c r="O12" i="29"/>
  <c r="P9" i="29"/>
  <c r="F33" i="27"/>
  <c r="G34" i="27" s="1"/>
  <c r="H34" i="27" s="1"/>
  <c r="F34" i="27"/>
  <c r="F35" i="27"/>
  <c r="F36" i="27"/>
  <c r="G36" i="27" s="1"/>
  <c r="H36" i="27" s="1"/>
  <c r="F37" i="27"/>
  <c r="G37" i="27" s="1"/>
  <c r="H37" i="27" s="1"/>
  <c r="F38" i="27"/>
  <c r="F39" i="27"/>
  <c r="F40" i="27"/>
  <c r="G40" i="27" s="1"/>
  <c r="H40" i="27" s="1"/>
  <c r="F41" i="27"/>
  <c r="G41" i="27" s="1"/>
  <c r="H41" i="27" s="1"/>
  <c r="F42" i="27"/>
  <c r="F43" i="27"/>
  <c r="F44" i="27"/>
  <c r="G44" i="27" s="1"/>
  <c r="H44" i="27" s="1"/>
  <c r="U4" i="27"/>
  <c r="P5" i="27"/>
  <c r="P6" i="27"/>
  <c r="P7" i="27"/>
  <c r="O7" i="27"/>
  <c r="P20" i="27" s="1"/>
  <c r="O6" i="27"/>
  <c r="O5" i="27"/>
  <c r="U8" i="27" s="1"/>
  <c r="P20" i="28"/>
  <c r="P19" i="28"/>
  <c r="P16" i="28"/>
  <c r="P8" i="28"/>
  <c r="V5" i="27"/>
  <c r="U5" i="27"/>
  <c r="U16" i="27"/>
  <c r="S21" i="27"/>
  <c r="V16" i="27"/>
  <c r="P16" i="27"/>
  <c r="P8" i="27"/>
  <c r="S26" i="26"/>
  <c r="S17" i="26"/>
  <c r="V13" i="26"/>
  <c r="U13" i="26"/>
  <c r="V12" i="26"/>
  <c r="U12" i="26"/>
  <c r="U11" i="26"/>
  <c r="U4" i="26"/>
  <c r="P19" i="26"/>
  <c r="P21" i="26" s="1"/>
  <c r="T14" i="26" s="1"/>
  <c r="P16" i="26"/>
  <c r="P8" i="26"/>
  <c r="S56" i="26"/>
  <c r="S47" i="26"/>
  <c r="V43" i="26"/>
  <c r="U43" i="26"/>
  <c r="V42" i="26"/>
  <c r="U42" i="26"/>
  <c r="U41" i="26"/>
  <c r="U34" i="26"/>
  <c r="P49" i="26"/>
  <c r="P51" i="26" s="1"/>
  <c r="T44" i="26" s="1"/>
  <c r="P46" i="26"/>
  <c r="P38" i="26"/>
  <c r="U101" i="27" l="1"/>
  <c r="P106" i="27"/>
  <c r="V103" i="27"/>
  <c r="G120" i="27"/>
  <c r="H120" i="27" s="1"/>
  <c r="G123" i="27"/>
  <c r="H123" i="27" s="1"/>
  <c r="G121" i="27"/>
  <c r="H121" i="27" s="1"/>
  <c r="G125" i="27"/>
  <c r="H125" i="27" s="1"/>
  <c r="V92" i="27"/>
  <c r="V93" i="27" s="1"/>
  <c r="F105" i="27"/>
  <c r="G122" i="27"/>
  <c r="H122" i="27" s="1"/>
  <c r="G126" i="27"/>
  <c r="H126" i="27" s="1"/>
  <c r="F117" i="27"/>
  <c r="G119" i="27"/>
  <c r="U92" i="27"/>
  <c r="U93" i="27" s="1"/>
  <c r="U95" i="27"/>
  <c r="P105" i="27"/>
  <c r="G124" i="27"/>
  <c r="H124" i="27" s="1"/>
  <c r="U103" i="27"/>
  <c r="G39" i="27"/>
  <c r="H39" i="27" s="1"/>
  <c r="F31" i="27"/>
  <c r="G38" i="27"/>
  <c r="H38" i="27" s="1"/>
  <c r="U60" i="27"/>
  <c r="F64" i="27"/>
  <c r="F19" i="27"/>
  <c r="G33" i="27"/>
  <c r="U51" i="27"/>
  <c r="U52" i="27" s="1"/>
  <c r="G43" i="27"/>
  <c r="H43" i="27" s="1"/>
  <c r="G35" i="27"/>
  <c r="H35" i="27" s="1"/>
  <c r="U62" i="27"/>
  <c r="G42" i="27"/>
  <c r="H42" i="27" s="1"/>
  <c r="G83" i="27"/>
  <c r="H83" i="27" s="1"/>
  <c r="V6" i="27"/>
  <c r="V7" i="27" s="1"/>
  <c r="V51" i="27"/>
  <c r="V52" i="27" s="1"/>
  <c r="G81" i="27"/>
  <c r="H81" i="27" s="1"/>
  <c r="G84" i="27"/>
  <c r="H84" i="27" s="1"/>
  <c r="G80" i="27"/>
  <c r="H80" i="27" s="1"/>
  <c r="G78" i="27"/>
  <c r="H78" i="27" s="1"/>
  <c r="G82" i="27"/>
  <c r="H82" i="27" s="1"/>
  <c r="G85" i="27"/>
  <c r="H85" i="27" s="1"/>
  <c r="P64" i="27"/>
  <c r="P68" i="27" s="1"/>
  <c r="G79" i="27"/>
  <c r="H79" i="27" s="1"/>
  <c r="U55" i="27"/>
  <c r="F76" i="27"/>
  <c r="U54" i="27"/>
  <c r="S84" i="28"/>
  <c r="U9" i="28"/>
  <c r="N71" i="28"/>
  <c r="V65" i="28"/>
  <c r="V66" i="28" s="1"/>
  <c r="N70" i="28"/>
  <c r="V75" i="28"/>
  <c r="P78" i="28"/>
  <c r="U65" i="28"/>
  <c r="U66" i="28" s="1"/>
  <c r="P79" i="28"/>
  <c r="U76" i="28"/>
  <c r="U77" i="28" s="1"/>
  <c r="U75" i="28"/>
  <c r="P52" i="28"/>
  <c r="T47" i="28" s="1"/>
  <c r="U47" i="28"/>
  <c r="S54" i="28" s="1"/>
  <c r="U39" i="28"/>
  <c r="U36" i="28"/>
  <c r="U38" i="28" s="1"/>
  <c r="U40" i="28"/>
  <c r="U11" i="28"/>
  <c r="U18" i="28"/>
  <c r="P23" i="28"/>
  <c r="U36" i="26"/>
  <c r="V36" i="26" s="1"/>
  <c r="U6" i="29"/>
  <c r="V6" i="29" s="1"/>
  <c r="U6" i="27"/>
  <c r="U7" i="27" s="1"/>
  <c r="V17" i="27"/>
  <c r="U17" i="27"/>
  <c r="P19" i="27"/>
  <c r="U15" i="27"/>
  <c r="P23" i="27"/>
  <c r="T18" i="27" s="1"/>
  <c r="U10" i="27"/>
  <c r="U9" i="27"/>
  <c r="U14" i="26"/>
  <c r="T22" i="26" s="1"/>
  <c r="S23" i="26" s="1"/>
  <c r="U5" i="26"/>
  <c r="V5" i="26" s="1"/>
  <c r="V7" i="26" s="1"/>
  <c r="U6" i="26"/>
  <c r="V6" i="26" s="1"/>
  <c r="U44" i="26"/>
  <c r="T52" i="26" s="1"/>
  <c r="S53" i="26" s="1"/>
  <c r="U35" i="26"/>
  <c r="V35" i="26" s="1"/>
  <c r="V37" i="26" s="1"/>
  <c r="P109" i="27" l="1"/>
  <c r="T104" i="27" s="1"/>
  <c r="H119" i="27"/>
  <c r="H117" i="27" s="1"/>
  <c r="F106" i="27" s="1"/>
  <c r="U104" i="27" s="1"/>
  <c r="T110" i="27" s="1"/>
  <c r="G117" i="27"/>
  <c r="G31" i="27"/>
  <c r="H33" i="27"/>
  <c r="H31" i="27" s="1"/>
  <c r="T63" i="27"/>
  <c r="V55" i="27"/>
  <c r="V54" i="27"/>
  <c r="G76" i="27"/>
  <c r="H76" i="27"/>
  <c r="F65" i="27" s="1"/>
  <c r="U63" i="27" s="1"/>
  <c r="T69" i="27" s="1"/>
  <c r="U15" i="26"/>
  <c r="U69" i="28"/>
  <c r="V69" i="28" s="1"/>
  <c r="P82" i="28"/>
  <c r="T77" i="28"/>
  <c r="U68" i="28"/>
  <c r="U70" i="28"/>
  <c r="V39" i="28"/>
  <c r="V40" i="28"/>
  <c r="V11" i="28"/>
  <c r="V12" i="28" s="1"/>
  <c r="U19" i="28" s="1"/>
  <c r="T18" i="28"/>
  <c r="V9" i="27"/>
  <c r="V11" i="27" s="1"/>
  <c r="V10" i="27"/>
  <c r="U45" i="26"/>
  <c r="V95" i="27" l="1"/>
  <c r="V96" i="27"/>
  <c r="V97" i="27" s="1"/>
  <c r="U105" i="27" s="1"/>
  <c r="S111" i="27"/>
  <c r="S112" i="27"/>
  <c r="S71" i="27"/>
  <c r="S70" i="27"/>
  <c r="V56" i="27"/>
  <c r="U64" i="27" s="1"/>
  <c r="V70" i="28"/>
  <c r="V71" i="28" s="1"/>
  <c r="U78" i="28" s="1"/>
  <c r="V41" i="28"/>
  <c r="U48" i="28" s="1"/>
  <c r="V7" i="29"/>
  <c r="U19" i="29" s="1"/>
  <c r="F20" i="27"/>
  <c r="U18" i="27" s="1"/>
  <c r="U19" i="27" l="1"/>
  <c r="T24" i="27"/>
</calcChain>
</file>

<file path=xl/sharedStrings.xml><?xml version="1.0" encoding="utf-8"?>
<sst xmlns="http://schemas.openxmlformats.org/spreadsheetml/2006/main" count="508" uniqueCount="157">
  <si>
    <t>Ex5.</t>
  </si>
  <si>
    <t>p-value</t>
  </si>
  <si>
    <t>df</t>
  </si>
  <si>
    <t>alpha</t>
  </si>
  <si>
    <t>PROBLEM</t>
  </si>
  <si>
    <t>SOLUTION</t>
  </si>
  <si>
    <t>Ex21.</t>
  </si>
  <si>
    <t>Step 1:</t>
  </si>
  <si>
    <t>Step 2:</t>
  </si>
  <si>
    <t>Step 3:</t>
  </si>
  <si>
    <t>Step 4:</t>
  </si>
  <si>
    <t>Ex41</t>
  </si>
  <si>
    <t>Samples(n)</t>
  </si>
  <si>
    <t>Sample mean (Xbar)</t>
  </si>
  <si>
    <t xml:space="preserve">alpha </t>
  </si>
  <si>
    <t>H0:</t>
  </si>
  <si>
    <t>Ha:</t>
  </si>
  <si>
    <t>Ex3.</t>
  </si>
  <si>
    <t>Step 1: State the hull hypothesis and the alternative hypothesis.</t>
  </si>
  <si>
    <t>Step 2: Select the level of significance</t>
  </si>
  <si>
    <t>Step 3: Determine the test statistic</t>
  </si>
  <si>
    <t>Step 4: Formulate a decision rule</t>
  </si>
  <si>
    <t>Step 5: Make the decision regarding H0</t>
  </si>
  <si>
    <t>Step 6: Interpret the result</t>
  </si>
  <si>
    <t>SIX-STEP HYPOTHESIS-TESTING PROCEDURE</t>
  </si>
  <si>
    <t>Step 0:</t>
  </si>
  <si>
    <t>State the givens</t>
  </si>
  <si>
    <t>State the hull hypothesis and the alternative hypothesis.</t>
  </si>
  <si>
    <t>Select the level of significance</t>
  </si>
  <si>
    <t>Gibbs</t>
  </si>
  <si>
    <t>Use the six-step hypothesis-testing procedure to solve the following exercises.
Gibbs Baby Food Company wishes to compare the weight gain of infants using its brand versus its competitor’s. A sample of 40 babies using the Gibbs products revealed a mean weight gain of 7.6 pounds in the first 3 months after birth. For the Gibbs brand, the population standard deviation of the sample is 2.3 pounds. A sample of 55 babies using the competitor’s brand revealed a mean increase in weight of 8.1 pounds. The population standard deviation is 2.9 pounds. At the .05 significance level, can we conclude that babies using the Gibbs brand gained less weight? Compute the p-value and interpret it."</t>
  </si>
  <si>
    <t>Competition</t>
  </si>
  <si>
    <t>Can assume both distributions are normal?</t>
  </si>
  <si>
    <t>Formulate a decision rule</t>
  </si>
  <si>
    <t>Determine the test statistic</t>
  </si>
  <si>
    <t>Test Statisitic</t>
  </si>
  <si>
    <t>xbarg - xbarc</t>
  </si>
  <si>
    <t>sigma^2 / n</t>
  </si>
  <si>
    <t>Both population std devs are known?</t>
  </si>
  <si>
    <t>Reject H0 if</t>
  </si>
  <si>
    <t>Both Sigma are known</t>
  </si>
  <si>
    <t>Left</t>
  </si>
  <si>
    <t>Tailed</t>
  </si>
  <si>
    <t>Right</t>
  </si>
  <si>
    <t>xbarG != xbarC</t>
  </si>
  <si>
    <t>Make a decision regarding H0</t>
  </si>
  <si>
    <t>Step 5:</t>
  </si>
  <si>
    <t>Step 6:</t>
  </si>
  <si>
    <t>Interpret the Result</t>
  </si>
  <si>
    <t>babies using the Gibbs brand gained less weight</t>
  </si>
  <si>
    <t>Population Stnd Dev (sigma)</t>
  </si>
  <si>
    <t>Use the six-step hypothesis-testing procedure to solve the following exercises.
Do married and unmarried women spend the same amount of time per week using Facebook? A random sample of 45 married women who use Facebook spent an average of 4.0 hours per week on this social media website. A random sample of 39 unmarried women who regularly use Facebook spent an average of 4.4 hours per week. Assume that the weekly Facebook time for married women has a population standard deviation of 1.2 hours, and the population standard deviation for unmarried, regular Facebook users is 1.1 hours per week. Using the .05 significance level, do married and unmarried women differ in the amount of time per week spent on Facebook? Find the p-value and interpret the result.</t>
  </si>
  <si>
    <t>Married</t>
  </si>
  <si>
    <t>Unmarried</t>
  </si>
  <si>
    <t>xbarG = xbarC</t>
  </si>
  <si>
    <t>married and unmarried women differ in the amount of time per week spent on Facebook</t>
  </si>
  <si>
    <t>Sigmas are unequal</t>
  </si>
  <si>
    <t>Significance Level (alpha)</t>
  </si>
  <si>
    <t>Ex15</t>
  </si>
  <si>
    <t>Assume the sample populations do not have equal standard deviations and use the .05 significance level: 
(a) determine the number of degrees of freedom and round down to the nearest integer value, 
(b) state the decision rule, 
(c) compute the value of the test statistic, and 
(d) state your decision about the null hypothesis.
A recent survey compared the costs of adoption through public and private agencies. For a sample of 16 adoptions through a public agency, the mean cost was $21,045, with a standard deviation of $835. For a sample of 18 adoptions through a private agency, the mean cost was $22,840, with a standard deviation of $1,545.</t>
  </si>
  <si>
    <t>public</t>
  </si>
  <si>
    <t>private</t>
  </si>
  <si>
    <t>Both population std devs are equal?</t>
  </si>
  <si>
    <t>xbarPrivate &gt; xbarPublic</t>
  </si>
  <si>
    <t>xbarPrivate &lt;= xbarPublic</t>
  </si>
  <si>
    <t>cost of private adoptions is higher</t>
  </si>
  <si>
    <t>Sample Stnd Dev (s)</t>
  </si>
  <si>
    <t>s^2 / n</t>
  </si>
  <si>
    <t>(s^2 / n)^2</t>
  </si>
  <si>
    <t>n - 1</t>
  </si>
  <si>
    <t>Question gives this</t>
  </si>
  <si>
    <t>Check figs in the back of the book give</t>
  </si>
  <si>
    <t>Textbook is inconsistent</t>
  </si>
  <si>
    <t>Ex19</t>
  </si>
  <si>
    <t>The management of Discount Furniture, a chain of discount furniture stores in the Northeast, designed an incentive plan for salespeople. To evaluate this innovative plan, 12 salespeople were selected at random, and their weekly incomes before and after the plan were recorded.
Was there a significant increase in the typical salesperson’s weekly income due to the innovative incentive plan? Use the .05 significance level.
State the null and alternate hypotheses.
What is the p-value?
Is the null hypothesis rejected?
What is the conclusion indicated by the analysis?</t>
  </si>
  <si>
    <t>Salesperson</t>
  </si>
  <si>
    <t>Before</t>
  </si>
  <si>
    <t>After</t>
  </si>
  <si>
    <t>Sid Mahone</t>
  </si>
  <si>
    <t>Carol Quick</t>
  </si>
  <si>
    <t>Tom Jackson</t>
  </si>
  <si>
    <t>Andy Jones</t>
  </si>
  <si>
    <t>Jean Sloan</t>
  </si>
  <si>
    <t>Jack Walker</t>
  </si>
  <si>
    <t>Peg Mancuso</t>
  </si>
  <si>
    <t>Anita Loma</t>
  </si>
  <si>
    <t>John Cuso</t>
  </si>
  <si>
    <t>Carl Utz</t>
  </si>
  <si>
    <t>A. S. Kushner</t>
  </si>
  <si>
    <t>Fern Lawton</t>
  </si>
  <si>
    <t>there was a significant increase in the typical salesperson's weekly income</t>
  </si>
  <si>
    <t>Two-Sample Tests of Hypothesis: Dependent Samples</t>
  </si>
  <si>
    <t>(d - dbar)</t>
  </si>
  <si>
    <t>(d - dbar)^2</t>
  </si>
  <si>
    <t>mu_d &gt; 0</t>
  </si>
  <si>
    <t>mu_d &lt;= 0</t>
  </si>
  <si>
    <t>mu_d &lt; 0</t>
  </si>
  <si>
    <t>s-sub-d</t>
  </si>
  <si>
    <t>mu_d &gt;= 0</t>
  </si>
  <si>
    <t>d-bar</t>
  </si>
  <si>
    <t>STATING THE H0 AND Ha.</t>
  </si>
  <si>
    <t>WHICH SEEMS COUNTER-INTUITIVE AND MATTERS WHEN</t>
  </si>
  <si>
    <t>MU_D &lt; 0 INDICATES AN INCREASE (MU_AFTER LARGER</t>
  </si>
  <si>
    <t>THAN MU_BEFORE)</t>
  </si>
  <si>
    <t>* NOTE</t>
  </si>
  <si>
    <t>Difference (d) *</t>
  </si>
  <si>
    <t xml:space="preserve">BA CAREFUL ON THE DIFFERENCES. WE USE BEFORE - AFTER </t>
  </si>
  <si>
    <t>Sample mean (x_bar)</t>
  </si>
  <si>
    <t>A recent study focused on the number of times men and women who live alone buy take-out dinner in a month. Assume that the distributions follow the normal probability distribution and the population standard deviations are equal. The information is summarized in the following table.</t>
  </si>
  <si>
    <t>At the .01 significance level, is there a difference in the mean number of times men and women order take-out dinners in a month?</t>
  </si>
  <si>
    <t>Men</t>
  </si>
  <si>
    <t>Women</t>
  </si>
  <si>
    <t>there is a difference in the mean number of times men and women order take-out dinners in a month</t>
  </si>
  <si>
    <t>Both Sigma are unknown but assumed equal</t>
  </si>
  <si>
    <t>xbar_men - xbar_women</t>
  </si>
  <si>
    <t>(n - 1)s^2</t>
  </si>
  <si>
    <t>s^2_pooled</t>
  </si>
  <si>
    <t>1 / n</t>
  </si>
  <si>
    <t>Music streaming services are the most popular way to listen to music. Data gathered over the last 12 months show Apple Music was used by an average of 1.65 million households with a sample standard deviation of 0.56 million family units. Over the same 12 months Spotify was used by an average of 2.2 million families with a sample standard deviation of 0.30 million. Assume the population standard deviations are not the same. Using a significance level of .05, test the hypothesis of no difference in the mean number of households picking either service.</t>
  </si>
  <si>
    <t>Apple</t>
  </si>
  <si>
    <t>Spotify</t>
  </si>
  <si>
    <t>Ex27</t>
  </si>
  <si>
    <t>there is a difference in the mean number of households picking either service</t>
  </si>
  <si>
    <t>Ex33</t>
  </si>
  <si>
    <t>under 25</t>
  </si>
  <si>
    <t>over 60</t>
  </si>
  <si>
    <t>Commercial Bank and Trust Company is studying the use of its automatic teller machines (ATMs). Of particular interest is whether young adults (under 25 years) use the machines more than senior citizens. To investigate further, samples of customers under 25 years of age and customers over 60 years of age were selected. The number of ATM transactions last month was determined for each selected individual, and the results are shown in the table. At the .01 significance level, can bank management conclude that younger customers use the ATMs more?</t>
  </si>
  <si>
    <t>younger customers use the ATMs more</t>
  </si>
  <si>
    <t>Critical Value</t>
  </si>
  <si>
    <r>
      <t xml:space="preserve">Calculate the </t>
    </r>
    <r>
      <rPr>
        <i/>
        <sz val="9"/>
        <color theme="1"/>
        <rFont val="Arial"/>
        <family val="2"/>
      </rPr>
      <t>p</t>
    </r>
    <r>
      <rPr>
        <sz val="9"/>
        <color theme="1"/>
        <rFont val="Arial"/>
        <family val="2"/>
      </rPr>
      <t>-value. Enter the appropriate formula below.</t>
    </r>
  </si>
  <si>
    <r>
      <t xml:space="preserve">a. For a left tailed test: </t>
    </r>
    <r>
      <rPr>
        <sz val="10"/>
        <color theme="1"/>
        <rFont val="Arial Unicode MS"/>
      </rPr>
      <t>=1-NORM.S.DIST(ABS(test statistic: z-value), TRUE)</t>
    </r>
  </si>
  <si>
    <r>
      <t xml:space="preserve">b. For a right tailed test: </t>
    </r>
    <r>
      <rPr>
        <sz val="10"/>
        <color theme="1"/>
        <rFont val="Arial Unicode MS"/>
      </rPr>
      <t>=NORM.S.DIST(abs(test statistic: z-value), TRUE)</t>
    </r>
  </si>
  <si>
    <r>
      <t xml:space="preserve">c. For a two-tailed test: </t>
    </r>
    <r>
      <rPr>
        <sz val="10"/>
        <color theme="1"/>
        <rFont val="Arial Unicode MS"/>
      </rPr>
      <t>=2*(1-NORM.S.DIST(ABS(test statistic: z-value), TRUE))</t>
    </r>
  </si>
  <si>
    <t>Ex37</t>
  </si>
  <si>
    <t>Lester Hollar is vice president for human resources for a large manufacturing company. In recent years, he has noticed an increase in absenteeism that he thinks is related to the general health of the employees. Four years ago, in an attempt to improve the situation, he began a fitness program in which employees exercise during their lunch hour. To evaluate the program, he selected a random sample of eight participants and found the number of days each was absent in the 6 months before the exercise program began and in the 6 months following the exercise program. Following are the results. At the .05 significance level, can he conclude that the number of absences has declined?</t>
  </si>
  <si>
    <t>Employee</t>
  </si>
  <si>
    <t>Bauman</t>
  </si>
  <si>
    <t>Briggs</t>
  </si>
  <si>
    <t>Dottellis</t>
  </si>
  <si>
    <t>Lee</t>
  </si>
  <si>
    <t>Perralt</t>
  </si>
  <si>
    <t>Rielly</t>
  </si>
  <si>
    <t>Steinmetz</t>
  </si>
  <si>
    <t>Stoltz</t>
  </si>
  <si>
    <t>the number of absences has declined</t>
  </si>
  <si>
    <t>MU_D &lt; 0 INDICATES AN DECREASE (MU_AFTER SMALLER</t>
  </si>
  <si>
    <t>An investigation of the effectiveness of an antibacterial soap in reducing operating room contamination resulted in the accompanying table. The new soap was tested in a sample of eight operating rooms in the greater Seattle area during the last year. The following table reports the contamination levels before and after the use of the soap for each operating room.</t>
  </si>
  <si>
    <t>At the .05 significance level, can we conclude the contamination measurements are lower after use of the new soap?</t>
  </si>
  <si>
    <t>A</t>
  </si>
  <si>
    <t>B</t>
  </si>
  <si>
    <t>C</t>
  </si>
  <si>
    <t>D</t>
  </si>
  <si>
    <t>E</t>
  </si>
  <si>
    <t>F</t>
  </si>
  <si>
    <t>G</t>
  </si>
  <si>
    <t>H</t>
  </si>
  <si>
    <t>the contamination measurements are lower after use of the new soap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</si>
</sst>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 #,##0.0_);_(* \(#,##0.0\);_(* &quot;-&quot;??_);_(@_)"/>
    <numFmt numFmtId="165" formatCode="0.000"/>
    <numFmt numFmtId="166" formatCode="0.0000"/>
    <numFmt numFmtId="167" formatCode="0.0"/>
    <numFmt numFmtId="168" formatCode="_(&quot;$&quot;* #,##0_);_(&quot;$&quot;* \(#,##0\);_(&quot;$&quot;* &quot;-&quot;??_);_(@_)"/>
  </numFmts>
  <fonts count="8">
    <font>
      <sz val="9"/>
      <color theme="1"/>
      <name val="Arial"/>
      <family val="2"/>
    </font>
    <font>
      <sz val="9"/>
      <color theme="1"/>
      <name val="Arial"/>
      <family val="2"/>
    </font>
    <font>
      <b/>
      <sz val="9"/>
      <color theme="1"/>
      <name val="Arial"/>
      <family val="2"/>
    </font>
    <font>
      <i/>
      <sz val="9"/>
      <color theme="1"/>
      <name val="Arial"/>
      <family val="2"/>
    </font>
    <font>
      <sz val="9"/>
      <color rgb="FFFF0000"/>
      <name val="Arial"/>
      <family val="2"/>
    </font>
    <font>
      <b/>
      <sz val="9"/>
      <color rgb="FFFF0000"/>
      <name val="Arial"/>
      <family val="2"/>
    </font>
    <font>
      <i/>
      <sz val="9"/>
      <color rgb="FFFF0000"/>
      <name val="Arial"/>
      <family val="2"/>
    </font>
    <font>
      <sz val="10"/>
      <color theme="1"/>
      <name val="Arial Unicode MS"/>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2" fillId="0" borderId="0" xfId="0" applyFont="1"/>
    <xf numFmtId="0" fontId="0" fillId="0" borderId="0" xfId="0" applyAlignment="1">
      <alignment horizontal="right"/>
    </xf>
    <xf numFmtId="0" fontId="0" fillId="2" borderId="0" xfId="0" applyFill="1"/>
    <xf numFmtId="0" fontId="0" fillId="2" borderId="0" xfId="0" applyFill="1" applyAlignment="1">
      <alignment horizontal="right"/>
    </xf>
    <xf numFmtId="0" fontId="2" fillId="0" borderId="0" xfId="0" applyFont="1" applyAlignment="1">
      <alignment horizontal="right"/>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0" fontId="0" fillId="0" borderId="0" xfId="0" applyBorder="1"/>
    <xf numFmtId="0" fontId="0" fillId="0" borderId="0" xfId="0" applyBorder="1" applyAlignment="1">
      <alignment horizontal="right"/>
    </xf>
    <xf numFmtId="0" fontId="2" fillId="0" borderId="0" xfId="0" applyFont="1" applyBorder="1"/>
    <xf numFmtId="0" fontId="0" fillId="2" borderId="0" xfId="0" applyFill="1" applyBorder="1"/>
    <xf numFmtId="0" fontId="2" fillId="2" borderId="0" xfId="0" applyFont="1" applyFill="1" applyBorder="1" applyAlignment="1">
      <alignment horizontal="right"/>
    </xf>
    <xf numFmtId="0" fontId="3" fillId="0" borderId="0" xfId="0" applyFont="1"/>
    <xf numFmtId="0" fontId="2" fillId="2" borderId="0" xfId="0" applyFont="1" applyFill="1" applyBorder="1" applyAlignment="1">
      <alignment horizontal="left"/>
    </xf>
    <xf numFmtId="0" fontId="2" fillId="0" borderId="0" xfId="0" applyFont="1" applyAlignment="1">
      <alignment vertical="top" wrapText="1"/>
    </xf>
    <xf numFmtId="0" fontId="2" fillId="0" borderId="0" xfId="0" applyFont="1" applyAlignment="1">
      <alignment horizontal="center"/>
    </xf>
    <xf numFmtId="0" fontId="2" fillId="3" borderId="0" xfId="0" applyFont="1" applyFill="1" applyBorder="1"/>
    <xf numFmtId="166" fontId="0" fillId="0" borderId="0" xfId="0" applyNumberFormat="1" applyBorder="1"/>
    <xf numFmtId="0" fontId="2" fillId="0" borderId="0" xfId="0" applyFont="1" applyBorder="1" applyAlignment="1">
      <alignment horizontal="right"/>
    </xf>
    <xf numFmtId="0" fontId="3" fillId="0" borderId="0" xfId="0" applyFont="1" applyAlignment="1">
      <alignment vertical="top" wrapText="1"/>
    </xf>
    <xf numFmtId="0" fontId="0" fillId="0" borderId="0" xfId="0" applyFont="1" applyAlignment="1">
      <alignment horizontal="right" vertical="top"/>
    </xf>
    <xf numFmtId="0" fontId="0" fillId="0" borderId="0" xfId="0" quotePrefix="1"/>
    <xf numFmtId="0" fontId="2" fillId="0" borderId="0" xfId="0" applyFont="1" applyBorder="1" applyAlignment="1">
      <alignment horizontal="left"/>
    </xf>
    <xf numFmtId="164" fontId="2" fillId="0" borderId="0" xfId="0" applyNumberFormat="1" applyFont="1" applyBorder="1" applyAlignment="1">
      <alignment horizontal="right"/>
    </xf>
    <xf numFmtId="0" fontId="2" fillId="2" borderId="0" xfId="0" applyFont="1" applyFill="1" applyBorder="1"/>
    <xf numFmtId="0" fontId="3" fillId="0" borderId="0" xfId="0" applyFont="1" applyBorder="1" applyAlignment="1">
      <alignment vertical="center" wrapText="1"/>
    </xf>
    <xf numFmtId="0" fontId="0" fillId="0" borderId="0" xfId="0" applyFill="1" applyBorder="1"/>
    <xf numFmtId="0" fontId="2" fillId="0" borderId="0" xfId="0" applyFont="1" applyFill="1" applyBorder="1" applyAlignment="1">
      <alignment horizontal="left"/>
    </xf>
    <xf numFmtId="167" fontId="0" fillId="0" borderId="0" xfId="0" applyNumberFormat="1"/>
    <xf numFmtId="167" fontId="2" fillId="0" borderId="0" xfId="0" applyNumberFormat="1" applyFont="1" applyAlignment="1">
      <alignment horizontal="left"/>
    </xf>
    <xf numFmtId="167" fontId="0" fillId="0" borderId="0" xfId="0" applyNumberFormat="1" applyAlignment="1">
      <alignment horizontal="left"/>
    </xf>
    <xf numFmtId="168" fontId="0" fillId="0" borderId="0" xfId="1" applyNumberFormat="1" applyFont="1"/>
    <xf numFmtId="168" fontId="2" fillId="2" borderId="0" xfId="1" applyNumberFormat="1" applyFont="1" applyFill="1" applyBorder="1" applyAlignment="1">
      <alignment horizontal="left"/>
    </xf>
    <xf numFmtId="0" fontId="2" fillId="2" borderId="0" xfId="0" applyFont="1" applyFill="1" applyAlignment="1">
      <alignment horizontal="right"/>
    </xf>
    <xf numFmtId="167" fontId="2" fillId="0" borderId="0" xfId="0" applyNumberFormat="1" applyFont="1" applyAlignment="1">
      <alignment vertical="top" wrapText="1"/>
    </xf>
    <xf numFmtId="0" fontId="4" fillId="0" borderId="0" xfId="0" applyFont="1"/>
    <xf numFmtId="0" fontId="4" fillId="0" borderId="0" xfId="0" applyFont="1" applyBorder="1"/>
    <xf numFmtId="164" fontId="5" fillId="0" borderId="0" xfId="0" applyNumberFormat="1" applyFont="1" applyBorder="1" applyAlignment="1">
      <alignment horizontal="right"/>
    </xf>
    <xf numFmtId="0" fontId="5" fillId="2" borderId="0" xfId="0" applyFont="1" applyFill="1" applyBorder="1"/>
    <xf numFmtId="0" fontId="4" fillId="2" borderId="0" xfId="0" applyFont="1" applyFill="1" applyBorder="1"/>
    <xf numFmtId="0" fontId="4" fillId="2" borderId="0" xfId="0" applyFont="1" applyFill="1"/>
    <xf numFmtId="0" fontId="5" fillId="0" borderId="0" xfId="0" applyFont="1"/>
    <xf numFmtId="165" fontId="2" fillId="0" borderId="0" xfId="0" applyNumberFormat="1" applyFont="1" applyAlignment="1">
      <alignment horizontal="left" vertical="top" wrapText="1"/>
    </xf>
    <xf numFmtId="0" fontId="2" fillId="2" borderId="0" xfId="1" applyNumberFormat="1" applyFont="1" applyFill="1" applyBorder="1" applyAlignment="1">
      <alignment horizontal="left"/>
    </xf>
    <xf numFmtId="2" fontId="2" fillId="2" borderId="0" xfId="1" applyNumberFormat="1" applyFont="1" applyFill="1" applyBorder="1" applyAlignment="1">
      <alignment horizontal="left"/>
    </xf>
    <xf numFmtId="0" fontId="2" fillId="0" borderId="0" xfId="0" applyFont="1" applyAlignment="1">
      <alignment horizontal="right" vertical="top" wrapText="1"/>
    </xf>
    <xf numFmtId="167" fontId="2" fillId="0" borderId="0" xfId="0" applyNumberFormat="1" applyFont="1" applyAlignment="1">
      <alignment horizontal="right"/>
    </xf>
    <xf numFmtId="0" fontId="2" fillId="2" borderId="0" xfId="0" applyNumberFormat="1" applyFont="1" applyFill="1" applyBorder="1" applyAlignment="1">
      <alignment horizontal="left"/>
    </xf>
    <xf numFmtId="167" fontId="0" fillId="2" borderId="0" xfId="0" applyNumberFormat="1" applyFill="1"/>
    <xf numFmtId="0" fontId="2" fillId="0" borderId="0" xfId="0" applyFont="1" applyAlignment="1">
      <alignment horizontal="left" vertical="top" wrapText="1"/>
    </xf>
    <xf numFmtId="0" fontId="3" fillId="2" borderId="0" xfId="0" applyFont="1" applyFill="1" applyAlignment="1">
      <alignment horizontal="center"/>
    </xf>
    <xf numFmtId="0" fontId="3" fillId="0" borderId="0" xfId="0" applyFont="1" applyBorder="1" applyAlignment="1">
      <alignment horizontal="center" vertical="center" wrapText="1"/>
    </xf>
    <xf numFmtId="0" fontId="3" fillId="0" borderId="0" xfId="0" applyFont="1" applyBorder="1" applyAlignment="1">
      <alignment horizontal="center" vertical="top" wrapText="1"/>
    </xf>
    <xf numFmtId="0" fontId="6" fillId="2" borderId="0" xfId="0" applyFont="1" applyFill="1" applyAlignment="1">
      <alignment horizontal="center"/>
    </xf>
  </cellXfs>
  <cellStyles count="2">
    <cellStyle name="Currency" xfId="1" builtinId="4"/>
    <cellStyle name="Normal" xfId="0" builtinId="0"/>
  </cellStyles>
  <dxfs count="18">
    <dxf>
      <numFmt numFmtId="167" formatCode="0.0"/>
    </dxf>
    <dxf>
      <numFmt numFmtId="167" formatCode="0.0"/>
    </dxf>
    <dxf>
      <numFmt numFmtId="0" formatCode="General"/>
    </dxf>
    <dxf>
      <numFmt numFmtId="167" formatCode="0.0"/>
      <fill>
        <patternFill patternType="solid">
          <fgColor indexed="64"/>
          <bgColor rgb="FFFFFF00"/>
        </patternFill>
      </fill>
    </dxf>
    <dxf>
      <numFmt numFmtId="167" formatCode="0.0"/>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20Archive\Spheres\BIZ\_education\Data%20Science\Formal\CSULB%20MSIS\IS%20640\learning-python\csulb-is-601\exams\exam2\IS601%20Exam%202%20Guid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cratch Pad"/>
      <sheetName val="Ch 6 Discrete Prob Dist"/>
      <sheetName val="Frequency Tables Ex Ch6"/>
      <sheetName val="When to use what formula"/>
      <sheetName val="Binomial Prob Dist Ex Ch6"/>
      <sheetName val="Hypergeometric Ex Ch6"/>
      <sheetName val="Poisson Prob Dist Ex Ch6"/>
      <sheetName val="Ch 7 Continuous Prob Dist"/>
      <sheetName val="Uniform Distribution"/>
      <sheetName val="Normal Distribution"/>
      <sheetName val="Exponential Distribution"/>
      <sheetName val="Ch 8 Sampling and Central Limit"/>
      <sheetName val="Ch 9 Estimation and Conf Interv"/>
      <sheetName val="z-Table"/>
      <sheetName val="t-Table"/>
      <sheetName val="Ch 9 Review"/>
      <sheetName val="Review 1"/>
      <sheetName val="Review 2"/>
      <sheetName val="Review 3"/>
      <sheetName val="Review 4"/>
      <sheetName val="Review 5"/>
      <sheetName val="Review 6"/>
      <sheetName val="Review 7"/>
      <sheetName val="1"/>
      <sheetName val="2"/>
      <sheetName val="3"/>
      <sheetName val="4"/>
    </sheetNames>
    <sheetDataSet>
      <sheetData sheetId="0" refreshError="1"/>
      <sheetData sheetId="1" refreshError="1"/>
      <sheetData sheetId="2" refreshError="1"/>
      <sheetData sheetId="3" refreshError="1"/>
      <sheetData sheetId="4">
        <row r="10">
          <cell r="J10" t="str">
            <v>number of customers that enter a store</v>
          </cell>
        </row>
        <row r="13">
          <cell r="J13" t="str">
            <v>pennies should not be eliminated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CE835-27DC-4DD3-A0CF-7BC82ACF7475}" name="Table1" displayName="Table1" ref="C32:H44" totalsRowShown="0">
  <autoFilter ref="C32:H44" xr:uid="{3419891E-10EF-49F3-AED3-FDBDB54029F3}"/>
  <tableColumns count="6">
    <tableColumn id="1" xr3:uid="{2114531D-0A4A-451C-A7C6-6DE2077A2232}" name="Salesperson" dataDxfId="17"/>
    <tableColumn id="2" xr3:uid="{DD6BAE36-E7F3-4407-A6DF-EBE3CD0B65C7}" name="Before" dataDxfId="16"/>
    <tableColumn id="3" xr3:uid="{648307A8-08C0-47CF-B59F-E98029E32DB2}" name="After" dataDxfId="15"/>
    <tableColumn id="4" xr3:uid="{9C6BB7FC-0EE5-4D03-A296-8838BD1EBE52}" name="Difference (d) *" dataDxfId="14">
      <calculatedColumnFormula>Table1[[#This Row],[Before]]-Table1[[#This Row],[After]]</calculatedColumnFormula>
    </tableColumn>
    <tableColumn id="5" xr3:uid="{2FECAF87-C4E8-4264-88B2-8A1F8A89AC21}" name="(d - dbar)" dataDxfId="13">
      <calculatedColumnFormula>Table1[[#This Row],[Difference (d) *]]-(SUM(Table1[Difference (d) *])/COUNT(Table1[Difference (d) *]))</calculatedColumnFormula>
    </tableColumn>
    <tableColumn id="6" xr3:uid="{251251C6-AA86-4050-A11B-97AC26FF5EE0}" name="(d - dbar)^2" dataDxfId="12">
      <calculatedColumnFormula>Table1[[#This Row],[(d - dbar)]]^2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5397A-94B8-43C9-BF81-BE11CB7029A8}" name="Table13" displayName="Table13" ref="C77:H85" totalsRowShown="0">
  <autoFilter ref="C77:H85" xr:uid="{B069B546-8149-45A7-8590-18BE12B64318}"/>
  <tableColumns count="6">
    <tableColumn id="1" xr3:uid="{7859ADC6-5533-4BE3-ACE6-2C9D55981DFF}" name="Employee" dataDxfId="11"/>
    <tableColumn id="2" xr3:uid="{9E848B4C-619D-4BDA-BAF8-DAFF195E0A6B}" name="Before" dataDxfId="10"/>
    <tableColumn id="3" xr3:uid="{DFEE676F-32D4-409B-803F-4D8FF56AFB4F}" name="After" dataDxfId="9"/>
    <tableColumn id="4" xr3:uid="{1671D01F-A01E-4833-B41E-0062E585E790}" name="Difference (d) *" dataDxfId="8">
      <calculatedColumnFormula>Table13[[#This Row],[Before]]-Table13[[#This Row],[After]]</calculatedColumnFormula>
    </tableColumn>
    <tableColumn id="5" xr3:uid="{9F37F6E0-1B4D-4010-ADCE-85DC2EEEB319}" name="(d - dbar)" dataDxfId="7">
      <calculatedColumnFormula>Table13[[#This Row],[Difference (d) *]]-(SUM(Table13[Difference (d) *])/COUNT(Table13[Difference (d) *]))</calculatedColumnFormula>
    </tableColumn>
    <tableColumn id="6" xr3:uid="{AF5640CA-CBFE-42BC-8534-B607B07D9B9B}" name="(d - dbar)^2" dataDxfId="6">
      <calculatedColumnFormula>Table13[[#This Row],[(d - dbar)]]^2</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6F3E25-D15D-44F9-BFF4-7947FD9FC903}" name="Table134" displayName="Table134" ref="C118:H126" totalsRowShown="0">
  <autoFilter ref="C118:H126" xr:uid="{F98EA5F8-7DB9-4453-8711-5C7CFA10CA7B}"/>
  <tableColumns count="6">
    <tableColumn id="1" xr3:uid="{6E611A12-5CDE-4A54-BE46-AD1389691183}" name="Employee" dataDxfId="5"/>
    <tableColumn id="2" xr3:uid="{39C881DE-1A66-45E3-B2F6-B9E8703BDF8E}" name="Before" dataDxfId="4"/>
    <tableColumn id="3" xr3:uid="{78B30629-6D8A-4D85-8600-817FEB1FE156}" name="After" dataDxfId="3"/>
    <tableColumn id="4" xr3:uid="{170DE623-453A-4E80-B5FE-FC12CE0F3E85}" name="Difference (d) *" dataDxfId="2">
      <calculatedColumnFormula>Table134[[#This Row],[Before]]-Table134[[#This Row],[After]]</calculatedColumnFormula>
    </tableColumn>
    <tableColumn id="5" xr3:uid="{1465D3F8-2AFE-4135-A9B4-B9CEA987C5AC}" name="(d - dbar)" dataDxfId="1">
      <calculatedColumnFormula>Table134[[#This Row],[Difference (d) *]]-(SUM(Table134[Difference (d) *])/COUNT(Table134[Difference (d) *]))</calculatedColumnFormula>
    </tableColumn>
    <tableColumn id="6" xr3:uid="{3895BAF7-CBE2-4B41-A26B-6116A51B233E}" name="(d - dbar)^2" dataDxfId="0">
      <calculatedColumnFormula>Table134[[#This Row],[(d - dbar)]]^2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08F8-B880-4D45-A1FC-250770084753}">
  <dimension ref="A1:Y59"/>
  <sheetViews>
    <sheetView tabSelected="1" workbookViewId="0"/>
  </sheetViews>
  <sheetFormatPr defaultRowHeight="12"/>
  <sheetData>
    <row r="1" spans="1:25">
      <c r="A1" s="1" t="s">
        <v>4</v>
      </c>
      <c r="K1" s="1" t="s">
        <v>5</v>
      </c>
    </row>
    <row r="2" spans="1:25" ht="12" customHeight="1">
      <c r="A2" s="1" t="s">
        <v>17</v>
      </c>
      <c r="B2" s="51" t="s">
        <v>30</v>
      </c>
      <c r="C2" s="51"/>
      <c r="D2" s="51"/>
      <c r="E2" s="51"/>
      <c r="F2" s="51"/>
      <c r="G2" s="51"/>
      <c r="H2" s="51"/>
      <c r="I2" s="51"/>
      <c r="K2" s="1" t="s">
        <v>40</v>
      </c>
    </row>
    <row r="3" spans="1:25">
      <c r="A3" s="1"/>
      <c r="B3" s="51"/>
      <c r="C3" s="51"/>
      <c r="D3" s="51"/>
      <c r="E3" s="51"/>
      <c r="F3" s="51"/>
      <c r="G3" s="51"/>
      <c r="H3" s="51"/>
      <c r="I3" s="51"/>
      <c r="K3" s="18" t="s">
        <v>25</v>
      </c>
      <c r="L3" s="11" t="s">
        <v>26</v>
      </c>
      <c r="M3" s="10"/>
      <c r="N3" s="9"/>
      <c r="O3" s="9"/>
      <c r="P3" s="9"/>
      <c r="R3" s="18" t="s">
        <v>10</v>
      </c>
      <c r="S3" s="11" t="s">
        <v>33</v>
      </c>
    </row>
    <row r="4" spans="1:25">
      <c r="A4" s="1"/>
      <c r="B4" s="51"/>
      <c r="C4" s="51"/>
      <c r="D4" s="51"/>
      <c r="E4" s="51"/>
      <c r="F4" s="51"/>
      <c r="G4" s="51"/>
      <c r="H4" s="51"/>
      <c r="I4" s="51"/>
      <c r="K4" s="11"/>
      <c r="L4" s="11"/>
      <c r="N4" s="10"/>
      <c r="O4" s="15" t="s">
        <v>29</v>
      </c>
      <c r="P4" s="15" t="s">
        <v>31</v>
      </c>
      <c r="T4" s="2" t="s">
        <v>42</v>
      </c>
      <c r="U4" s="8" t="str">
        <f>IF(NOT(ISERROR(FIND("!=",O12))),"Two",IF(NOT(ISERROR(FIND("&lt;",O12))),"Left","Right"))</f>
        <v>Left</v>
      </c>
      <c r="V4" s="8" t="s">
        <v>128</v>
      </c>
    </row>
    <row r="5" spans="1:25">
      <c r="A5" s="1"/>
      <c r="B5" s="51"/>
      <c r="C5" s="51"/>
      <c r="D5" s="51"/>
      <c r="E5" s="51"/>
      <c r="F5" s="51"/>
      <c r="G5" s="51"/>
      <c r="H5" s="51"/>
      <c r="I5" s="51"/>
      <c r="K5" s="28"/>
      <c r="L5" s="12"/>
      <c r="M5" s="12"/>
      <c r="N5" s="13" t="s">
        <v>12</v>
      </c>
      <c r="O5" s="15">
        <v>40</v>
      </c>
      <c r="P5" s="15">
        <v>55</v>
      </c>
      <c r="T5" s="2" t="s">
        <v>41</v>
      </c>
      <c r="U5" s="8">
        <f>IF(U4="Two",P16/2,IF(U4="Left",P16,""))</f>
        <v>0.05</v>
      </c>
      <c r="V5" s="8">
        <f>ROUND(_xlfn.NORM.S.INV(U5),3)</f>
        <v>-1.645</v>
      </c>
      <c r="W5" s="23"/>
    </row>
    <row r="6" spans="1:25">
      <c r="A6" s="1"/>
      <c r="B6" s="51"/>
      <c r="C6" s="51"/>
      <c r="D6" s="51"/>
      <c r="E6" s="51"/>
      <c r="F6" s="51"/>
      <c r="G6" s="51"/>
      <c r="H6" s="51"/>
      <c r="I6" s="51"/>
      <c r="K6" s="28"/>
      <c r="L6" s="12"/>
      <c r="M6" s="12"/>
      <c r="N6" s="13" t="s">
        <v>13</v>
      </c>
      <c r="O6" s="15">
        <v>7.6</v>
      </c>
      <c r="P6" s="15">
        <v>8.1</v>
      </c>
      <c r="T6" s="2" t="s">
        <v>43</v>
      </c>
      <c r="U6" s="8" t="str">
        <f>IF(U4="Two",1-P16/2,IF(U4="Left","",1-P16))</f>
        <v/>
      </c>
      <c r="V6" s="8" t="str">
        <f>IFERROR(ROUND(_xlfn.NORM.S.INV(U6),3),"")</f>
        <v/>
      </c>
      <c r="W6" s="23"/>
    </row>
    <row r="7" spans="1:25">
      <c r="A7" s="1"/>
      <c r="B7" s="51"/>
      <c r="C7" s="51"/>
      <c r="D7" s="51"/>
      <c r="E7" s="51"/>
      <c r="F7" s="51"/>
      <c r="G7" s="51"/>
      <c r="H7" s="51"/>
      <c r="I7" s="51"/>
      <c r="K7" s="28"/>
      <c r="L7" s="12"/>
      <c r="M7" s="12"/>
      <c r="N7" s="13" t="s">
        <v>50</v>
      </c>
      <c r="O7" s="15">
        <v>2.2999999999999998</v>
      </c>
      <c r="P7" s="15">
        <v>2.9</v>
      </c>
      <c r="U7" s="5" t="s">
        <v>39</v>
      </c>
      <c r="V7" s="6" t="str">
        <f>IF(U4="Left",P21&amp;" &lt; "&amp;V5,IF(U4="Right",P21&amp;" &gt; "&amp;V6,P21&amp;" &lt; "&amp;V5&amp;" OR "&amp;P21&amp;" &gt; "&amp;V6))</f>
        <v>z-value &lt; -1.645</v>
      </c>
      <c r="W7" s="9"/>
    </row>
    <row r="8" spans="1:25">
      <c r="A8" s="1"/>
      <c r="B8" s="51"/>
      <c r="C8" s="51"/>
      <c r="D8" s="51"/>
      <c r="E8" s="51"/>
      <c r="F8" s="51"/>
      <c r="G8" s="51"/>
      <c r="H8" s="51"/>
      <c r="I8" s="51"/>
      <c r="K8" s="28"/>
      <c r="L8" s="12"/>
      <c r="M8" s="12"/>
      <c r="N8" s="13" t="s">
        <v>14</v>
      </c>
      <c r="O8" s="15">
        <v>0.05</v>
      </c>
      <c r="P8" s="29">
        <f>O8</f>
        <v>0.05</v>
      </c>
      <c r="W8" s="9"/>
    </row>
    <row r="9" spans="1:25">
      <c r="A9" s="1"/>
      <c r="B9" s="51"/>
      <c r="C9" s="51"/>
      <c r="D9" s="51"/>
      <c r="E9" s="51"/>
      <c r="F9" s="51"/>
      <c r="G9" s="51"/>
      <c r="H9" s="51"/>
      <c r="I9" s="51"/>
      <c r="K9" s="9"/>
      <c r="L9" s="9"/>
      <c r="M9" s="9"/>
      <c r="N9" s="9"/>
      <c r="O9" s="9"/>
      <c r="P9" s="9"/>
      <c r="W9" s="9"/>
    </row>
    <row r="10" spans="1:25">
      <c r="A10" s="1"/>
      <c r="B10" s="51"/>
      <c r="C10" s="51"/>
      <c r="D10" s="51"/>
      <c r="E10" s="51"/>
      <c r="F10" s="51"/>
      <c r="G10" s="51"/>
      <c r="H10" s="51"/>
      <c r="I10" s="51"/>
      <c r="K10" s="18" t="s">
        <v>7</v>
      </c>
      <c r="L10" s="11" t="s">
        <v>27</v>
      </c>
      <c r="O10" s="9"/>
      <c r="P10" s="9"/>
      <c r="R10" s="18" t="s">
        <v>46</v>
      </c>
      <c r="S10" s="11" t="s">
        <v>45</v>
      </c>
      <c r="T10" s="9"/>
      <c r="U10" s="9"/>
      <c r="V10" s="9"/>
    </row>
    <row r="11" spans="1:25">
      <c r="A11" s="1"/>
      <c r="B11" s="51"/>
      <c r="C11" s="51"/>
      <c r="D11" s="51"/>
      <c r="E11" s="51"/>
      <c r="F11" s="51"/>
      <c r="G11" s="51"/>
      <c r="H11" s="51"/>
      <c r="I11" s="51"/>
      <c r="K11" s="9"/>
      <c r="L11" s="9"/>
      <c r="N11" s="25" t="s">
        <v>15</v>
      </c>
      <c r="O11" s="26" t="str">
        <f>"xbar"&amp;O4&amp;" &gt;= "&amp;"xbar"&amp;P4</f>
        <v>xbarGibbs &gt;= xbarCompetition</v>
      </c>
      <c r="P11" s="12"/>
      <c r="R11" s="11"/>
      <c r="S11" s="9"/>
      <c r="T11" s="2" t="s">
        <v>36</v>
      </c>
      <c r="U11" s="8">
        <f>O6-P6</f>
        <v>-0.5</v>
      </c>
    </row>
    <row r="12" spans="1:25">
      <c r="A12" s="1"/>
      <c r="B12" s="51"/>
      <c r="C12" s="51"/>
      <c r="D12" s="51"/>
      <c r="E12" s="51"/>
      <c r="F12" s="51"/>
      <c r="G12" s="51"/>
      <c r="H12" s="51"/>
      <c r="I12" s="51"/>
      <c r="K12" s="11"/>
      <c r="L12" s="9"/>
      <c r="N12" s="25" t="s">
        <v>16</v>
      </c>
      <c r="O12" s="26" t="str">
        <f>"xbar"&amp;O4&amp;" &lt; "&amp;"xbar"&amp;P4</f>
        <v>xbarGibbs &lt; xbarCompetition</v>
      </c>
      <c r="P12" s="12"/>
      <c r="R12" s="9"/>
      <c r="S12" s="9"/>
      <c r="T12" s="2"/>
      <c r="U12" s="1" t="str">
        <f>O4</f>
        <v>Gibbs</v>
      </c>
      <c r="V12" s="1" t="str">
        <f>P4</f>
        <v>Competition</v>
      </c>
    </row>
    <row r="13" spans="1:25">
      <c r="A13" s="1"/>
      <c r="B13" s="51"/>
      <c r="C13" s="51"/>
      <c r="D13" s="51"/>
      <c r="E13" s="51"/>
      <c r="F13" s="51"/>
      <c r="G13" s="51"/>
      <c r="H13" s="51"/>
      <c r="I13" s="51"/>
      <c r="L13" s="52" t="s">
        <v>49</v>
      </c>
      <c r="M13" s="52"/>
      <c r="N13" s="52"/>
      <c r="O13" s="52"/>
      <c r="P13" s="52"/>
      <c r="R13" s="9"/>
      <c r="S13" s="9"/>
      <c r="T13" s="2" t="s">
        <v>37</v>
      </c>
      <c r="U13" s="8">
        <f>O7^2/O5</f>
        <v>0.13224999999999998</v>
      </c>
      <c r="V13" s="8">
        <f>P7^2/P5</f>
        <v>0.15290909090909091</v>
      </c>
    </row>
    <row r="14" spans="1:25">
      <c r="A14" s="1"/>
      <c r="B14" s="1"/>
      <c r="C14" s="1"/>
      <c r="D14" s="1"/>
      <c r="E14" s="1"/>
      <c r="F14" s="1"/>
      <c r="G14" s="1"/>
      <c r="H14" s="1"/>
      <c r="I14" s="1"/>
      <c r="R14" s="9"/>
      <c r="S14" s="9"/>
      <c r="T14" s="2" t="str">
        <f>"Test statistic: "&amp;P21</f>
        <v>Test statistic: z-value</v>
      </c>
      <c r="U14" s="8">
        <f>ROUND(U11/SQRT(U13+V13),3)</f>
        <v>-0.93600000000000005</v>
      </c>
      <c r="V14" s="8"/>
      <c r="Y14" s="9"/>
    </row>
    <row r="15" spans="1:25">
      <c r="A15" s="1"/>
      <c r="B15" s="1" t="s">
        <v>24</v>
      </c>
      <c r="C15" s="1"/>
      <c r="D15" s="1"/>
      <c r="E15" s="1"/>
      <c r="F15" s="1"/>
      <c r="G15" s="1"/>
      <c r="H15" s="1"/>
      <c r="I15" s="1"/>
      <c r="K15" s="18" t="s">
        <v>8</v>
      </c>
      <c r="L15" s="11" t="s">
        <v>28</v>
      </c>
      <c r="M15" s="9"/>
      <c r="N15" s="9"/>
      <c r="O15" s="9"/>
      <c r="P15" s="9"/>
      <c r="U15" t="str">
        <f>SUBSTITUTE(V7,P21,U14)</f>
        <v>-0.936 &lt; -1.645</v>
      </c>
      <c r="Y15" s="9"/>
    </row>
    <row r="16" spans="1:25">
      <c r="B16" s="1" t="s">
        <v>18</v>
      </c>
      <c r="K16" s="9"/>
      <c r="L16" s="9"/>
      <c r="O16" s="20" t="s">
        <v>3</v>
      </c>
      <c r="P16" s="24">
        <f>O8</f>
        <v>0.05</v>
      </c>
      <c r="T16" s="8"/>
      <c r="U16" s="3" t="b">
        <v>0</v>
      </c>
      <c r="Y16" s="9"/>
    </row>
    <row r="17" spans="1:25" ht="12" customHeight="1">
      <c r="B17" s="1" t="s">
        <v>19</v>
      </c>
      <c r="K17" s="19"/>
      <c r="L17" s="9"/>
      <c r="M17" s="9"/>
      <c r="N17" s="9"/>
      <c r="O17" s="9"/>
      <c r="P17" s="9"/>
      <c r="S17" s="11" t="str">
        <f>IF(U16,"Reject H0", "Fail to Reject H0")</f>
        <v>Fail to Reject H0</v>
      </c>
      <c r="Y17" s="9"/>
    </row>
    <row r="18" spans="1:25">
      <c r="B18" s="1" t="s">
        <v>20</v>
      </c>
      <c r="K18" s="18" t="s">
        <v>9</v>
      </c>
      <c r="L18" s="11" t="s">
        <v>34</v>
      </c>
      <c r="M18" s="9"/>
      <c r="N18" s="9"/>
      <c r="O18" s="9"/>
      <c r="P18" s="9"/>
      <c r="S18" t="s">
        <v>129</v>
      </c>
    </row>
    <row r="19" spans="1:25" ht="12.75">
      <c r="B19" s="1" t="s">
        <v>21</v>
      </c>
      <c r="M19" s="21"/>
      <c r="O19" s="22" t="s">
        <v>38</v>
      </c>
      <c r="P19" s="21" t="b">
        <f>AND(O7&lt;&gt;"",P7&lt;&gt;"")</f>
        <v>1</v>
      </c>
      <c r="S19" t="s">
        <v>130</v>
      </c>
    </row>
    <row r="20" spans="1:25" ht="12.75">
      <c r="B20" s="1" t="s">
        <v>22</v>
      </c>
      <c r="K20" s="11"/>
      <c r="M20" s="21"/>
      <c r="O20" s="22" t="s">
        <v>32</v>
      </c>
      <c r="P20" s="21" t="b">
        <v>1</v>
      </c>
      <c r="S20" t="s">
        <v>131</v>
      </c>
    </row>
    <row r="21" spans="1:25" ht="12.75">
      <c r="B21" s="1" t="s">
        <v>23</v>
      </c>
      <c r="O21" s="5" t="s">
        <v>35</v>
      </c>
      <c r="P21" s="17" t="str">
        <f>IF(AND(P19,P20),"z-value","t-value")</f>
        <v>z-value</v>
      </c>
      <c r="S21" t="s">
        <v>132</v>
      </c>
    </row>
    <row r="22" spans="1:25">
      <c r="S22" t="s">
        <v>1</v>
      </c>
      <c r="T22">
        <f>IF(U4="Left",1-_xlfn.NORM.S.DIST(ABS(U14), TRUE),IF(U4="Two",2*(1-_xlfn.NORM.S.DIST(ABS(U14), TRUE)),_xlfn.NORM.S.DIST(ABS(U14), TRUE)))</f>
        <v>0.17463659385658059</v>
      </c>
    </row>
    <row r="23" spans="1:25">
      <c r="S23" s="11" t="str">
        <f>IF(T22&lt;P16,"Reject H0", "Fail to Reject H0")</f>
        <v>Fail to Reject H0</v>
      </c>
    </row>
    <row r="25" spans="1:25">
      <c r="R25" s="18" t="s">
        <v>47</v>
      </c>
      <c r="S25" s="1" t="s">
        <v>48</v>
      </c>
    </row>
    <row r="26" spans="1:25">
      <c r="S26" s="53" t="str">
        <f>"We can"&amp;IF(U16,"","not")&amp;" conclude that "&amp;L13&amp;"."</f>
        <v>We cannot conclude that babies using the Gibbs brand gained less weight.</v>
      </c>
      <c r="T26" s="53"/>
      <c r="U26" s="53"/>
      <c r="V26" s="53"/>
      <c r="W26" s="53"/>
    </row>
    <row r="27" spans="1:25">
      <c r="S27" s="53"/>
      <c r="T27" s="53"/>
      <c r="U27" s="53"/>
      <c r="V27" s="53"/>
      <c r="W27" s="53"/>
    </row>
    <row r="28" spans="1:25">
      <c r="S28" s="53"/>
      <c r="T28" s="53"/>
      <c r="U28" s="53"/>
      <c r="V28" s="53"/>
      <c r="W28" s="53"/>
    </row>
    <row r="29" spans="1:25">
      <c r="S29" s="53"/>
      <c r="T29" s="53"/>
      <c r="U29" s="53"/>
      <c r="V29" s="53"/>
      <c r="W29" s="53"/>
    </row>
    <row r="31" spans="1:25">
      <c r="A31" s="1" t="s">
        <v>4</v>
      </c>
      <c r="K31" s="1" t="s">
        <v>5</v>
      </c>
      <c r="Q31" s="27"/>
    </row>
    <row r="32" spans="1:25">
      <c r="A32" s="1" t="s">
        <v>0</v>
      </c>
      <c r="B32" s="51" t="s">
        <v>51</v>
      </c>
      <c r="C32" s="51"/>
      <c r="D32" s="51"/>
      <c r="E32" s="51"/>
      <c r="F32" s="51"/>
      <c r="G32" s="51"/>
      <c r="H32" s="51"/>
      <c r="I32" s="51"/>
      <c r="K32" s="1" t="s">
        <v>40</v>
      </c>
    </row>
    <row r="33" spans="1:23">
      <c r="A33" s="1"/>
      <c r="B33" s="51"/>
      <c r="C33" s="51"/>
      <c r="D33" s="51"/>
      <c r="E33" s="51"/>
      <c r="F33" s="51"/>
      <c r="G33" s="51"/>
      <c r="H33" s="51"/>
      <c r="I33" s="51"/>
      <c r="K33" s="18" t="s">
        <v>25</v>
      </c>
      <c r="L33" s="11" t="s">
        <v>26</v>
      </c>
      <c r="M33" s="10"/>
      <c r="N33" s="9"/>
      <c r="O33" s="9"/>
      <c r="P33" s="9"/>
      <c r="R33" s="18" t="s">
        <v>10</v>
      </c>
      <c r="S33" s="11" t="s">
        <v>33</v>
      </c>
    </row>
    <row r="34" spans="1:23">
      <c r="A34" s="1"/>
      <c r="B34" s="51"/>
      <c r="C34" s="51"/>
      <c r="D34" s="51"/>
      <c r="E34" s="51"/>
      <c r="F34" s="51"/>
      <c r="G34" s="51"/>
      <c r="H34" s="51"/>
      <c r="I34" s="51"/>
      <c r="K34" s="11"/>
      <c r="L34" s="11"/>
      <c r="N34" s="10"/>
      <c r="O34" s="15" t="s">
        <v>52</v>
      </c>
      <c r="P34" s="15" t="s">
        <v>53</v>
      </c>
      <c r="T34" s="2" t="s">
        <v>42</v>
      </c>
      <c r="U34" s="8" t="str">
        <f>IF(NOT(ISERROR(FIND("!=",O42))),"Two",IF(NOT(ISERROR(FIND("&lt;",O42))),"Left","Right"))</f>
        <v>Two</v>
      </c>
      <c r="V34" s="8"/>
    </row>
    <row r="35" spans="1:23">
      <c r="A35" s="1"/>
      <c r="B35" s="51"/>
      <c r="C35" s="51"/>
      <c r="D35" s="51"/>
      <c r="E35" s="51"/>
      <c r="F35" s="51"/>
      <c r="G35" s="51"/>
      <c r="H35" s="51"/>
      <c r="I35" s="51"/>
      <c r="K35" s="28"/>
      <c r="L35" s="12"/>
      <c r="M35" s="12"/>
      <c r="N35" s="13" t="s">
        <v>12</v>
      </c>
      <c r="O35" s="15">
        <v>45</v>
      </c>
      <c r="P35" s="15">
        <v>39</v>
      </c>
      <c r="T35" s="2" t="s">
        <v>41</v>
      </c>
      <c r="U35" s="8">
        <f>IF(U34="Two",P46/2,IF(U34="Left",P46,""))</f>
        <v>2.5000000000000001E-2</v>
      </c>
      <c r="V35" s="8">
        <f>ROUND(_xlfn.NORM.S.INV(U35),3)</f>
        <v>-1.96</v>
      </c>
      <c r="W35" s="23"/>
    </row>
    <row r="36" spans="1:23">
      <c r="A36" s="1"/>
      <c r="B36" s="51"/>
      <c r="C36" s="51"/>
      <c r="D36" s="51"/>
      <c r="E36" s="51"/>
      <c r="F36" s="51"/>
      <c r="G36" s="51"/>
      <c r="H36" s="51"/>
      <c r="I36" s="51"/>
      <c r="K36" s="28"/>
      <c r="L36" s="12"/>
      <c r="M36" s="12"/>
      <c r="N36" s="13" t="s">
        <v>13</v>
      </c>
      <c r="O36" s="15">
        <v>4</v>
      </c>
      <c r="P36" s="15">
        <v>4.4000000000000004</v>
      </c>
      <c r="T36" s="2" t="s">
        <v>43</v>
      </c>
      <c r="U36" s="8">
        <f>IF(U34="Two",1-P46/2,IF(U34="Left","",1-P46))</f>
        <v>0.97499999999999998</v>
      </c>
      <c r="V36" s="8">
        <f>IFERROR(ROUND(_xlfn.NORM.S.INV(U36),3),"")</f>
        <v>1.96</v>
      </c>
      <c r="W36" s="23"/>
    </row>
    <row r="37" spans="1:23">
      <c r="A37" s="1"/>
      <c r="B37" s="51"/>
      <c r="C37" s="51"/>
      <c r="D37" s="51"/>
      <c r="E37" s="51"/>
      <c r="F37" s="51"/>
      <c r="G37" s="51"/>
      <c r="H37" s="51"/>
      <c r="I37" s="51"/>
      <c r="K37" s="28"/>
      <c r="L37" s="12"/>
      <c r="M37" s="12"/>
      <c r="N37" s="13" t="s">
        <v>50</v>
      </c>
      <c r="O37" s="15">
        <v>1.2</v>
      </c>
      <c r="P37" s="15">
        <v>1.1000000000000001</v>
      </c>
      <c r="U37" s="5" t="s">
        <v>39</v>
      </c>
      <c r="V37" s="6" t="str">
        <f>IF(U34="Left",P51&amp;" &lt; "&amp;V35,IF(U34="Right",P51&amp;" &gt; "&amp;V36,P51&amp;" &lt; "&amp;V35&amp;" OR "&amp;P51&amp;" &gt; "&amp;V36))</f>
        <v>z-value &lt; -1.96 OR z-value &gt; 1.96</v>
      </c>
      <c r="W37" s="9"/>
    </row>
    <row r="38" spans="1:23">
      <c r="A38" s="1"/>
      <c r="B38" s="51"/>
      <c r="C38" s="51"/>
      <c r="D38" s="51"/>
      <c r="E38" s="51"/>
      <c r="F38" s="51"/>
      <c r="G38" s="51"/>
      <c r="H38" s="51"/>
      <c r="I38" s="51"/>
      <c r="K38" s="28"/>
      <c r="L38" s="12"/>
      <c r="M38" s="12"/>
      <c r="N38" s="13" t="s">
        <v>14</v>
      </c>
      <c r="O38" s="15">
        <v>0.05</v>
      </c>
      <c r="P38" s="29">
        <f>O38</f>
        <v>0.05</v>
      </c>
      <c r="W38" s="9"/>
    </row>
    <row r="39" spans="1:23">
      <c r="A39" s="1"/>
      <c r="B39" s="51"/>
      <c r="C39" s="51"/>
      <c r="D39" s="51"/>
      <c r="E39" s="51"/>
      <c r="F39" s="51"/>
      <c r="G39" s="51"/>
      <c r="H39" s="51"/>
      <c r="I39" s="51"/>
      <c r="K39" s="9"/>
      <c r="L39" s="9"/>
      <c r="M39" s="9"/>
      <c r="N39" s="9"/>
      <c r="O39" s="9"/>
      <c r="P39" s="9"/>
      <c r="W39" s="9"/>
    </row>
    <row r="40" spans="1:23">
      <c r="A40" s="1"/>
      <c r="B40" s="51"/>
      <c r="C40" s="51"/>
      <c r="D40" s="51"/>
      <c r="E40" s="51"/>
      <c r="F40" s="51"/>
      <c r="G40" s="51"/>
      <c r="H40" s="51"/>
      <c r="I40" s="51"/>
      <c r="K40" s="18" t="s">
        <v>7</v>
      </c>
      <c r="L40" s="11" t="s">
        <v>27</v>
      </c>
      <c r="O40" s="9"/>
      <c r="P40" s="9"/>
      <c r="R40" s="18" t="s">
        <v>46</v>
      </c>
      <c r="S40" s="11" t="s">
        <v>45</v>
      </c>
      <c r="T40" s="9"/>
      <c r="U40" s="9"/>
      <c r="V40" s="9"/>
    </row>
    <row r="41" spans="1:23">
      <c r="A41" s="1"/>
      <c r="B41" s="51"/>
      <c r="C41" s="51"/>
      <c r="D41" s="51"/>
      <c r="E41" s="51"/>
      <c r="F41" s="51"/>
      <c r="G41" s="51"/>
      <c r="H41" s="51"/>
      <c r="I41" s="51"/>
      <c r="K41" s="9"/>
      <c r="L41" s="9"/>
      <c r="N41" s="25" t="s">
        <v>15</v>
      </c>
      <c r="O41" s="26" t="s">
        <v>54</v>
      </c>
      <c r="P41" s="12"/>
      <c r="R41" s="11"/>
      <c r="S41" s="9"/>
      <c r="T41" s="2" t="s">
        <v>36</v>
      </c>
      <c r="U41" s="8">
        <f>O36-P36</f>
        <v>-0.40000000000000036</v>
      </c>
    </row>
    <row r="42" spans="1:23">
      <c r="A42" s="1"/>
      <c r="B42" s="51"/>
      <c r="C42" s="51"/>
      <c r="D42" s="51"/>
      <c r="E42" s="51"/>
      <c r="F42" s="51"/>
      <c r="G42" s="51"/>
      <c r="H42" s="51"/>
      <c r="I42" s="51"/>
      <c r="K42" s="11"/>
      <c r="L42" s="9"/>
      <c r="N42" s="25" t="s">
        <v>16</v>
      </c>
      <c r="O42" s="26" t="s">
        <v>44</v>
      </c>
      <c r="P42" s="12"/>
      <c r="R42" s="9"/>
      <c r="S42" s="9"/>
      <c r="T42" s="2"/>
      <c r="U42" s="1" t="str">
        <f>O34</f>
        <v>Married</v>
      </c>
      <c r="V42" s="1" t="str">
        <f>P34</f>
        <v>Unmarried</v>
      </c>
    </row>
    <row r="43" spans="1:23">
      <c r="A43" s="1"/>
      <c r="B43" s="51"/>
      <c r="C43" s="51"/>
      <c r="D43" s="51"/>
      <c r="E43" s="51"/>
      <c r="F43" s="51"/>
      <c r="G43" s="51"/>
      <c r="H43" s="51"/>
      <c r="I43" s="51"/>
      <c r="L43" s="52" t="s">
        <v>55</v>
      </c>
      <c r="M43" s="52"/>
      <c r="N43" s="52"/>
      <c r="O43" s="52"/>
      <c r="P43" s="52"/>
      <c r="R43" s="9"/>
      <c r="S43" s="9"/>
      <c r="T43" s="2" t="s">
        <v>37</v>
      </c>
      <c r="U43" s="8">
        <f>O37^2/O35</f>
        <v>3.2000000000000001E-2</v>
      </c>
      <c r="V43" s="8">
        <f>P37^2/P35</f>
        <v>3.1025641025641031E-2</v>
      </c>
    </row>
    <row r="44" spans="1:23">
      <c r="A44" s="1"/>
      <c r="B44" s="1"/>
      <c r="C44" s="1"/>
      <c r="D44" s="1"/>
      <c r="E44" s="1"/>
      <c r="F44" s="1"/>
      <c r="G44" s="1"/>
      <c r="H44" s="1"/>
      <c r="I44" s="1"/>
      <c r="R44" s="9"/>
      <c r="S44" s="9"/>
      <c r="T44" s="2" t="str">
        <f>"Test statistic: "&amp;P51</f>
        <v>Test statistic: z-value</v>
      </c>
      <c r="U44" s="8">
        <f>ROUND(U41/SQRT(U43+V43),3)</f>
        <v>-1.593</v>
      </c>
      <c r="V44" s="8"/>
    </row>
    <row r="45" spans="1:23">
      <c r="A45" s="1"/>
      <c r="B45" s="1" t="s">
        <v>24</v>
      </c>
      <c r="C45" s="1"/>
      <c r="D45" s="1"/>
      <c r="E45" s="1"/>
      <c r="F45" s="1"/>
      <c r="G45" s="1"/>
      <c r="H45" s="1"/>
      <c r="I45" s="1"/>
      <c r="K45" s="18" t="s">
        <v>8</v>
      </c>
      <c r="L45" s="11" t="s">
        <v>28</v>
      </c>
      <c r="M45" s="9"/>
      <c r="N45" s="9"/>
      <c r="O45" s="9"/>
      <c r="P45" s="9"/>
      <c r="U45" t="str">
        <f>SUBSTITUTE(V37,P51,U44)</f>
        <v>-1.593 &lt; -1.96 OR -1.593 &gt; 1.96</v>
      </c>
    </row>
    <row r="46" spans="1:23">
      <c r="B46" s="1" t="s">
        <v>18</v>
      </c>
      <c r="K46" s="9"/>
      <c r="L46" s="9"/>
      <c r="O46" s="20" t="s">
        <v>3</v>
      </c>
      <c r="P46" s="24">
        <f>O38</f>
        <v>0.05</v>
      </c>
      <c r="T46" s="8"/>
      <c r="U46" s="3" t="b">
        <v>0</v>
      </c>
    </row>
    <row r="47" spans="1:23">
      <c r="B47" s="1" t="s">
        <v>19</v>
      </c>
      <c r="K47" s="19"/>
      <c r="L47" s="9"/>
      <c r="M47" s="9"/>
      <c r="N47" s="9"/>
      <c r="O47" s="9"/>
      <c r="P47" s="9"/>
      <c r="S47" s="11" t="str">
        <f>IF(U46,"Reject H0", "Fail to Reject H0")</f>
        <v>Fail to Reject H0</v>
      </c>
    </row>
    <row r="48" spans="1:23">
      <c r="B48" s="1" t="s">
        <v>20</v>
      </c>
      <c r="K48" s="18" t="s">
        <v>9</v>
      </c>
      <c r="L48" s="11" t="s">
        <v>34</v>
      </c>
      <c r="M48" s="9"/>
      <c r="N48" s="9"/>
      <c r="O48" s="9"/>
      <c r="P48" s="9"/>
      <c r="S48" t="s">
        <v>129</v>
      </c>
    </row>
    <row r="49" spans="2:23" ht="12.75">
      <c r="B49" s="1" t="s">
        <v>21</v>
      </c>
      <c r="M49" s="21"/>
      <c r="O49" s="22" t="s">
        <v>38</v>
      </c>
      <c r="P49" s="21" t="b">
        <f>AND(O37&lt;&gt;"",P37&lt;&gt;"")</f>
        <v>1</v>
      </c>
      <c r="S49" t="s">
        <v>130</v>
      </c>
    </row>
    <row r="50" spans="2:23" ht="12.75">
      <c r="B50" s="1" t="s">
        <v>22</v>
      </c>
      <c r="K50" s="11"/>
      <c r="M50" s="21"/>
      <c r="O50" s="22" t="s">
        <v>32</v>
      </c>
      <c r="P50" s="21" t="b">
        <v>1</v>
      </c>
      <c r="S50" t="s">
        <v>131</v>
      </c>
    </row>
    <row r="51" spans="2:23" ht="12.75">
      <c r="B51" s="1" t="s">
        <v>23</v>
      </c>
      <c r="O51" s="5" t="s">
        <v>35</v>
      </c>
      <c r="P51" s="17" t="str">
        <f>IF(AND(P49,P50),"z-value","t-value")</f>
        <v>z-value</v>
      </c>
      <c r="S51" t="s">
        <v>132</v>
      </c>
    </row>
    <row r="52" spans="2:23">
      <c r="S52" t="s">
        <v>1</v>
      </c>
      <c r="T52">
        <f>IF(U34="Left",1-_xlfn.NORM.S.DIST(ABS(U44), TRUE),IF(U34="Two",2*(1-_xlfn.NORM.S.DIST(ABS(U44), TRUE)),_xlfn.NORM.S.DIST(ABS(U44), TRUE)))</f>
        <v>0.11116019104610242</v>
      </c>
    </row>
    <row r="53" spans="2:23">
      <c r="S53" s="11" t="str">
        <f>IF(T52&lt;P46,"Reject H0", "Fail to Reject H0")</f>
        <v>Fail to Reject H0</v>
      </c>
    </row>
    <row r="55" spans="2:23">
      <c r="R55" s="18" t="s">
        <v>47</v>
      </c>
      <c r="S55" s="1" t="s">
        <v>48</v>
      </c>
    </row>
    <row r="56" spans="2:23">
      <c r="S56" s="53" t="str">
        <f>"We can"&amp;IF(U46,"","not")&amp;" conclude that "&amp;L43&amp;"."</f>
        <v>We cannot conclude that married and unmarried women differ in the amount of time per week spent on Facebook.</v>
      </c>
      <c r="T56" s="53"/>
      <c r="U56" s="53"/>
      <c r="V56" s="53"/>
      <c r="W56" s="53"/>
    </row>
    <row r="57" spans="2:23">
      <c r="S57" s="53"/>
      <c r="T57" s="53"/>
      <c r="U57" s="53"/>
      <c r="V57" s="53"/>
      <c r="W57" s="53"/>
    </row>
    <row r="58" spans="2:23">
      <c r="S58" s="53"/>
      <c r="T58" s="53"/>
      <c r="U58" s="53"/>
      <c r="V58" s="53"/>
      <c r="W58" s="53"/>
    </row>
    <row r="59" spans="2:23">
      <c r="S59" s="53"/>
      <c r="T59" s="53"/>
      <c r="U59" s="53"/>
      <c r="V59" s="53"/>
      <c r="W59" s="53"/>
    </row>
  </sheetData>
  <mergeCells count="6">
    <mergeCell ref="B32:I43"/>
    <mergeCell ref="L43:P43"/>
    <mergeCell ref="S56:W59"/>
    <mergeCell ref="L13:P13"/>
    <mergeCell ref="S26:W29"/>
    <mergeCell ref="B2:I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C6DF-25A0-43D6-961C-B33E4F6E5C23}">
  <dimension ref="A1:W31"/>
  <sheetViews>
    <sheetView workbookViewId="0"/>
  </sheetViews>
  <sheetFormatPr defaultRowHeight="12"/>
  <sheetData>
    <row r="1" spans="1:23">
      <c r="A1" s="1" t="s">
        <v>4</v>
      </c>
      <c r="K1" s="1" t="s">
        <v>5</v>
      </c>
    </row>
    <row r="2" spans="1:23" ht="12" customHeight="1">
      <c r="A2" s="1" t="s">
        <v>6</v>
      </c>
      <c r="B2" s="51" t="s">
        <v>108</v>
      </c>
      <c r="C2" s="51"/>
      <c r="D2" s="51"/>
      <c r="E2" s="51"/>
      <c r="F2" s="51"/>
      <c r="G2" s="51"/>
      <c r="H2" s="51"/>
      <c r="I2" s="51"/>
      <c r="K2" s="1" t="s">
        <v>113</v>
      </c>
    </row>
    <row r="3" spans="1:23">
      <c r="A3" s="1"/>
      <c r="B3" s="51"/>
      <c r="C3" s="51"/>
      <c r="D3" s="51"/>
      <c r="E3" s="51"/>
      <c r="F3" s="51"/>
      <c r="G3" s="51"/>
      <c r="H3" s="51"/>
      <c r="I3" s="51"/>
      <c r="K3" s="18" t="s">
        <v>25</v>
      </c>
      <c r="L3" s="11" t="s">
        <v>26</v>
      </c>
      <c r="M3" s="10"/>
      <c r="N3" s="9"/>
      <c r="O3" s="9"/>
      <c r="P3" s="9"/>
      <c r="R3" s="18" t="s">
        <v>10</v>
      </c>
      <c r="S3" s="11" t="s">
        <v>33</v>
      </c>
    </row>
    <row r="4" spans="1:23">
      <c r="A4" s="1"/>
      <c r="B4" s="51"/>
      <c r="C4" s="51"/>
      <c r="D4" s="51"/>
      <c r="E4" s="51"/>
      <c r="F4" s="51"/>
      <c r="G4" s="51"/>
      <c r="H4" s="51"/>
      <c r="I4" s="51"/>
      <c r="K4" s="11"/>
      <c r="L4" s="11"/>
      <c r="N4" s="10"/>
      <c r="O4" s="15" t="s">
        <v>110</v>
      </c>
      <c r="P4" s="15" t="s">
        <v>111</v>
      </c>
      <c r="T4" s="2" t="s">
        <v>42</v>
      </c>
      <c r="U4" s="8" t="str">
        <f>IF(NOT(ISERROR(FIND("!=",O13))),"Two",IF(NOT(ISERROR(FIND("&lt;",O13))),"Left","Right"))</f>
        <v>Two</v>
      </c>
      <c r="V4" s="8"/>
    </row>
    <row r="5" spans="1:23">
      <c r="A5" s="1"/>
      <c r="B5" s="51"/>
      <c r="C5" s="51"/>
      <c r="D5" s="51"/>
      <c r="E5" s="51"/>
      <c r="F5" s="51"/>
      <c r="G5" s="51"/>
      <c r="H5" s="51"/>
      <c r="I5" s="51"/>
      <c r="K5" s="28"/>
      <c r="L5" s="12"/>
      <c r="M5" s="12"/>
      <c r="N5" s="13" t="s">
        <v>12</v>
      </c>
      <c r="O5" s="15">
        <v>35</v>
      </c>
      <c r="P5" s="15">
        <v>40</v>
      </c>
      <c r="T5" s="2" t="s">
        <v>41</v>
      </c>
      <c r="U5" s="8">
        <f>IF(U4="Two",P17/2,IF(U4="Left",P17,""))</f>
        <v>5.0000000000000001E-3</v>
      </c>
      <c r="V5" s="8">
        <f>ROUND(_xlfn.NORM.S.INV(U5),3)</f>
        <v>-2.5760000000000001</v>
      </c>
      <c r="W5" s="23"/>
    </row>
    <row r="6" spans="1:23">
      <c r="A6" s="1"/>
      <c r="B6" s="16"/>
      <c r="C6" s="16"/>
      <c r="D6" s="16"/>
      <c r="E6" s="16"/>
      <c r="F6" s="16"/>
      <c r="G6" s="16"/>
      <c r="H6" s="16"/>
      <c r="I6" s="16"/>
      <c r="K6" s="28"/>
      <c r="L6" s="12"/>
      <c r="M6" s="12"/>
      <c r="N6" s="13" t="s">
        <v>13</v>
      </c>
      <c r="O6" s="15">
        <v>24.51</v>
      </c>
      <c r="P6" s="15">
        <v>22.69</v>
      </c>
      <c r="T6" s="2" t="s">
        <v>43</v>
      </c>
      <c r="U6" s="8">
        <f>IF(U4="Two",1-P17/2,IF(U4="Left","",1-P17))</f>
        <v>0.995</v>
      </c>
      <c r="V6" s="8">
        <f>IFERROR(ROUND(_xlfn.NORM.S.INV(U6),3),"")</f>
        <v>2.5760000000000001</v>
      </c>
      <c r="W6" s="23"/>
    </row>
    <row r="7" spans="1:23">
      <c r="A7" s="1"/>
      <c r="E7" s="8" t="s">
        <v>110</v>
      </c>
      <c r="F7" s="8" t="s">
        <v>111</v>
      </c>
      <c r="K7" s="28"/>
      <c r="L7" s="12"/>
      <c r="M7" s="12"/>
      <c r="N7" s="13" t="s">
        <v>66</v>
      </c>
      <c r="O7" s="15">
        <v>4.4800000000000004</v>
      </c>
      <c r="P7" s="15">
        <v>3.86</v>
      </c>
      <c r="U7" s="5" t="s">
        <v>39</v>
      </c>
      <c r="V7" s="6" t="str">
        <f>IF(U4="Left",P22&amp;" &lt; "&amp;V5,IF(U4="Right",P22&amp;" &gt; "&amp;V6,P22&amp;" &lt; "&amp;V5&amp;" OR "&amp;P22&amp;" &gt; "&amp;V6))</f>
        <v>t-value &lt; -2.576 OR t-value &gt; 2.576</v>
      </c>
      <c r="W7" s="9"/>
    </row>
    <row r="8" spans="1:23">
      <c r="A8" s="1"/>
      <c r="D8" s="2" t="s">
        <v>12</v>
      </c>
      <c r="E8" s="8">
        <v>35</v>
      </c>
      <c r="F8" s="8">
        <v>40</v>
      </c>
      <c r="K8" s="28"/>
      <c r="L8" s="12"/>
      <c r="M8" s="12"/>
      <c r="N8" s="13" t="s">
        <v>50</v>
      </c>
      <c r="O8" s="15"/>
      <c r="P8" s="15"/>
      <c r="W8" s="9"/>
    </row>
    <row r="9" spans="1:23">
      <c r="A9" s="1"/>
      <c r="D9" s="2" t="s">
        <v>13</v>
      </c>
      <c r="E9" s="8">
        <v>24.51</v>
      </c>
      <c r="F9" s="8">
        <v>22.69</v>
      </c>
      <c r="K9" s="28"/>
      <c r="L9" s="12"/>
      <c r="M9" s="12"/>
      <c r="N9" s="13" t="s">
        <v>14</v>
      </c>
      <c r="O9" s="15">
        <v>0.01</v>
      </c>
      <c r="P9" s="29">
        <f>O9</f>
        <v>0.01</v>
      </c>
      <c r="W9" s="9"/>
    </row>
    <row r="10" spans="1:23">
      <c r="A10" s="1"/>
      <c r="D10" s="2" t="s">
        <v>66</v>
      </c>
      <c r="E10" s="8">
        <v>4.4800000000000004</v>
      </c>
      <c r="F10" s="8">
        <v>3.86</v>
      </c>
      <c r="K10" s="9"/>
      <c r="L10" s="9"/>
      <c r="M10" s="9"/>
      <c r="N10" s="9"/>
      <c r="O10" s="9"/>
      <c r="P10" s="9"/>
      <c r="R10" s="18" t="s">
        <v>46</v>
      </c>
      <c r="S10" s="11" t="s">
        <v>45</v>
      </c>
      <c r="T10" s="9"/>
      <c r="U10" s="9"/>
      <c r="V10" s="9"/>
    </row>
    <row r="11" spans="1:23">
      <c r="A11" s="1"/>
      <c r="K11" s="18" t="s">
        <v>7</v>
      </c>
      <c r="L11" s="11" t="s">
        <v>27</v>
      </c>
      <c r="O11" s="9"/>
      <c r="P11" s="9"/>
      <c r="U11" t="str">
        <f>O4</f>
        <v>Men</v>
      </c>
      <c r="V11" t="str">
        <f>P4</f>
        <v>Women</v>
      </c>
    </row>
    <row r="12" spans="1:23">
      <c r="A12" s="1"/>
      <c r="B12" s="51" t="s">
        <v>109</v>
      </c>
      <c r="C12" s="51"/>
      <c r="D12" s="51"/>
      <c r="E12" s="51"/>
      <c r="F12" s="51"/>
      <c r="G12" s="51"/>
      <c r="H12" s="51"/>
      <c r="I12" s="51"/>
      <c r="K12" s="9"/>
      <c r="L12" s="9"/>
      <c r="N12" s="25" t="s">
        <v>15</v>
      </c>
      <c r="O12" s="26" t="str">
        <f>"xbar"&amp;O4&amp;" = "&amp;"xbar"&amp;P4</f>
        <v>xbarMen = xbarWomen</v>
      </c>
      <c r="P12" s="12"/>
      <c r="T12" s="2" t="s">
        <v>115</v>
      </c>
      <c r="U12">
        <f>(O5-1)*O7^2</f>
        <v>682.39360000000011</v>
      </c>
      <c r="V12">
        <f>(P5-1)*P7^2</f>
        <v>581.08439999999996</v>
      </c>
    </row>
    <row r="13" spans="1:23" ht="12" customHeight="1">
      <c r="A13" s="1"/>
      <c r="B13" s="51"/>
      <c r="C13" s="51"/>
      <c r="D13" s="51"/>
      <c r="E13" s="51"/>
      <c r="F13" s="51"/>
      <c r="G13" s="51"/>
      <c r="H13" s="51"/>
      <c r="I13" s="51"/>
      <c r="K13" s="11"/>
      <c r="L13" s="9"/>
      <c r="N13" s="25" t="s">
        <v>16</v>
      </c>
      <c r="O13" s="26" t="str">
        <f>"xbar"&amp;O4&amp;" != "&amp;"xbar"&amp;P4</f>
        <v>xbarMen != xbarWomen</v>
      </c>
      <c r="P13" s="12"/>
      <c r="T13" s="2" t="s">
        <v>2</v>
      </c>
      <c r="U13">
        <f>O5+P5-2</f>
        <v>73</v>
      </c>
    </row>
    <row r="14" spans="1:23">
      <c r="A14" s="1"/>
      <c r="B14" s="51"/>
      <c r="C14" s="51"/>
      <c r="D14" s="51"/>
      <c r="E14" s="51"/>
      <c r="F14" s="51"/>
      <c r="G14" s="51"/>
      <c r="H14" s="51"/>
      <c r="I14" s="51"/>
      <c r="L14" s="52" t="s">
        <v>112</v>
      </c>
      <c r="M14" s="52"/>
      <c r="N14" s="52"/>
      <c r="O14" s="52"/>
      <c r="P14" s="52"/>
      <c r="T14" s="2" t="s">
        <v>116</v>
      </c>
      <c r="U14">
        <f>(U12+V12)/U13</f>
        <v>17.30791780821918</v>
      </c>
    </row>
    <row r="15" spans="1:23">
      <c r="A15" s="1"/>
      <c r="T15" s="2" t="s">
        <v>114</v>
      </c>
      <c r="U15" s="8">
        <f>O6-P6</f>
        <v>1.8200000000000003</v>
      </c>
    </row>
    <row r="16" spans="1:23">
      <c r="B16" s="1" t="s">
        <v>24</v>
      </c>
      <c r="K16" s="18" t="s">
        <v>8</v>
      </c>
      <c r="L16" s="11" t="s">
        <v>28</v>
      </c>
      <c r="M16" s="9"/>
      <c r="N16" s="9"/>
      <c r="O16" s="9"/>
      <c r="P16" s="9"/>
      <c r="U16" s="1" t="str">
        <f>O4</f>
        <v>Men</v>
      </c>
      <c r="V16" s="1" t="str">
        <f>P4</f>
        <v>Women</v>
      </c>
    </row>
    <row r="17" spans="2:23">
      <c r="B17" s="1" t="s">
        <v>18</v>
      </c>
      <c r="K17" s="9"/>
      <c r="L17" s="9"/>
      <c r="O17" s="20" t="s">
        <v>3</v>
      </c>
      <c r="P17" s="24">
        <f>O9</f>
        <v>0.01</v>
      </c>
      <c r="S17" s="9"/>
      <c r="T17" s="2" t="s">
        <v>117</v>
      </c>
      <c r="U17">
        <f>1/O5</f>
        <v>2.8571428571428571E-2</v>
      </c>
      <c r="V17">
        <f>1/P5</f>
        <v>2.5000000000000001E-2</v>
      </c>
    </row>
    <row r="18" spans="2:23">
      <c r="B18" s="1" t="s">
        <v>19</v>
      </c>
      <c r="K18" s="19"/>
      <c r="L18" s="9"/>
      <c r="M18" s="9"/>
      <c r="N18" s="9"/>
      <c r="O18" s="9"/>
      <c r="P18" s="9"/>
      <c r="S18" s="9"/>
      <c r="T18" s="2" t="str">
        <f>"Test statistic: "&amp;P22</f>
        <v>Test statistic: t-value</v>
      </c>
      <c r="U18" s="8">
        <f>ROUND(U15/SQRT(U14*(U17+V17)),3)</f>
        <v>1.89</v>
      </c>
      <c r="V18" s="8"/>
    </row>
    <row r="19" spans="2:23">
      <c r="B19" s="1" t="s">
        <v>20</v>
      </c>
      <c r="K19" s="18" t="s">
        <v>9</v>
      </c>
      <c r="L19" s="11" t="s">
        <v>34</v>
      </c>
      <c r="M19" s="9"/>
      <c r="N19" s="9"/>
      <c r="O19" s="9"/>
      <c r="P19" s="9"/>
      <c r="U19" t="str">
        <f>SUBSTITUTE(V7,P22,U18)</f>
        <v>1.89 &lt; -2.576 OR 1.89 &gt; 2.576</v>
      </c>
    </row>
    <row r="20" spans="2:23">
      <c r="B20" s="1" t="s">
        <v>21</v>
      </c>
      <c r="M20" s="21"/>
      <c r="O20" s="22" t="s">
        <v>38</v>
      </c>
      <c r="P20" s="21" t="b">
        <f>AND(O8&lt;&gt;"",P8&lt;&gt;"")</f>
        <v>0</v>
      </c>
      <c r="T20" s="8"/>
      <c r="U20" s="3" t="b">
        <v>0</v>
      </c>
    </row>
    <row r="21" spans="2:23">
      <c r="B21" s="1" t="s">
        <v>22</v>
      </c>
      <c r="K21" s="11"/>
      <c r="M21" s="21"/>
      <c r="O21" s="22" t="s">
        <v>32</v>
      </c>
      <c r="P21" s="21" t="b">
        <v>1</v>
      </c>
      <c r="S21" s="11" t="str">
        <f>IF(U20,"Reject H0", "Fail to Reject H0")</f>
        <v>Fail to Reject H0</v>
      </c>
    </row>
    <row r="22" spans="2:23">
      <c r="B22" s="1" t="s">
        <v>23</v>
      </c>
      <c r="O22" s="5" t="s">
        <v>35</v>
      </c>
      <c r="P22" s="17" t="str">
        <f>IF(AND(P20,P21),"z-value","t-value")</f>
        <v>t-value</v>
      </c>
    </row>
    <row r="23" spans="2:23">
      <c r="R23" s="18" t="s">
        <v>47</v>
      </c>
      <c r="S23" s="1" t="s">
        <v>48</v>
      </c>
    </row>
    <row r="24" spans="2:23">
      <c r="S24" t="s">
        <v>1</v>
      </c>
      <c r="T24">
        <f>ROUND(IF(U4="Right",_xlfn.T.DIST.RT(ABS(U18),U13),IF(U4="Left",1-_xlfn.T.DIST(ABS(U18),U13,TRUE),_xlfn.T.DIST.2T(ABS(U18),U13))),4)</f>
        <v>6.2700000000000006E-2</v>
      </c>
      <c r="U24" s="7"/>
    </row>
    <row r="25" spans="2:23">
      <c r="S25" s="11" t="str">
        <f>IF(T24&lt;P17,"Reject H0", "Fail to Reject H0")</f>
        <v>Fail to Reject H0</v>
      </c>
    </row>
    <row r="26" spans="2:23">
      <c r="S26" s="53" t="str">
        <f>"We can"&amp;IF(U20,"","not")&amp;" conclude that "&amp;L14&amp;"."</f>
        <v>We cannot conclude that there is a difference in the mean number of times men and women order take-out dinners in a month.</v>
      </c>
      <c r="T26" s="53"/>
      <c r="U26" s="53"/>
      <c r="V26" s="53"/>
      <c r="W26" s="53"/>
    </row>
    <row r="27" spans="2:23">
      <c r="S27" s="53"/>
      <c r="T27" s="53"/>
      <c r="U27" s="53"/>
      <c r="V27" s="53"/>
      <c r="W27" s="53"/>
    </row>
    <row r="28" spans="2:23">
      <c r="B28" s="16"/>
      <c r="C28" s="16"/>
      <c r="D28" s="16"/>
      <c r="E28" s="16"/>
      <c r="F28" s="16"/>
      <c r="G28" s="16"/>
      <c r="H28" s="16"/>
      <c r="I28" s="16"/>
      <c r="S28" s="53"/>
      <c r="T28" s="53"/>
      <c r="U28" s="53"/>
      <c r="V28" s="53"/>
      <c r="W28" s="53"/>
    </row>
    <row r="29" spans="2:23">
      <c r="C29" s="16"/>
      <c r="D29" s="16"/>
      <c r="E29" s="16"/>
      <c r="F29" s="16"/>
      <c r="G29" s="16"/>
      <c r="H29" s="16"/>
      <c r="I29" s="16"/>
      <c r="R29" s="9"/>
      <c r="S29" s="53"/>
      <c r="T29" s="53"/>
      <c r="U29" s="53"/>
      <c r="V29" s="53"/>
      <c r="W29" s="53"/>
    </row>
    <row r="30" spans="2:23">
      <c r="C30" s="16"/>
      <c r="D30" s="16"/>
      <c r="E30" s="16"/>
      <c r="F30" s="16"/>
      <c r="G30" s="16"/>
      <c r="H30" s="16"/>
      <c r="I30" s="16"/>
      <c r="R30" s="9"/>
    </row>
    <row r="31" spans="2:23">
      <c r="R31" s="9"/>
      <c r="S31" s="53"/>
      <c r="T31" s="53"/>
      <c r="U31" s="53"/>
      <c r="V31" s="53"/>
      <c r="W31" s="53"/>
    </row>
  </sheetData>
  <mergeCells count="5">
    <mergeCell ref="S31:W31"/>
    <mergeCell ref="B2:I5"/>
    <mergeCell ref="B12:I14"/>
    <mergeCell ref="L14:P14"/>
    <mergeCell ref="S26:W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4E42-9DD4-4E48-99B1-3A5A29CE4AA9}">
  <dimension ref="A1:W88"/>
  <sheetViews>
    <sheetView workbookViewId="0"/>
  </sheetViews>
  <sheetFormatPr defaultRowHeight="12"/>
  <cols>
    <col min="6" max="7" width="9.28515625" customWidth="1"/>
    <col min="14" max="16" width="9.28515625" customWidth="1"/>
  </cols>
  <sheetData>
    <row r="1" spans="1:23">
      <c r="A1" s="1" t="s">
        <v>4</v>
      </c>
      <c r="K1" s="1" t="s">
        <v>5</v>
      </c>
    </row>
    <row r="2" spans="1:23" ht="12" customHeight="1">
      <c r="A2" s="1" t="s">
        <v>58</v>
      </c>
      <c r="B2" s="51" t="s">
        <v>59</v>
      </c>
      <c r="C2" s="51"/>
      <c r="D2" s="51"/>
      <c r="E2" s="51"/>
      <c r="F2" s="51"/>
      <c r="G2" s="51"/>
      <c r="H2" s="51"/>
      <c r="I2" s="51"/>
      <c r="K2" s="1" t="s">
        <v>56</v>
      </c>
    </row>
    <row r="3" spans="1:23">
      <c r="A3" s="1"/>
      <c r="B3" s="51"/>
      <c r="C3" s="51"/>
      <c r="D3" s="51"/>
      <c r="E3" s="51"/>
      <c r="F3" s="51"/>
      <c r="G3" s="51"/>
      <c r="H3" s="51"/>
      <c r="I3" s="51"/>
      <c r="K3" s="18" t="s">
        <v>25</v>
      </c>
      <c r="L3" s="11" t="s">
        <v>26</v>
      </c>
      <c r="M3" s="10"/>
      <c r="N3" s="9"/>
      <c r="O3" s="9"/>
      <c r="P3" s="9"/>
      <c r="R3" s="18" t="s">
        <v>10</v>
      </c>
      <c r="S3" s="11" t="s">
        <v>33</v>
      </c>
    </row>
    <row r="4" spans="1:23">
      <c r="A4" s="1"/>
      <c r="B4" s="51"/>
      <c r="C4" s="51"/>
      <c r="D4" s="51"/>
      <c r="E4" s="51"/>
      <c r="F4" s="51"/>
      <c r="G4" s="51"/>
      <c r="H4" s="51"/>
      <c r="I4" s="51"/>
      <c r="K4" s="11"/>
      <c r="L4" s="11"/>
      <c r="N4" s="10"/>
      <c r="O4" s="15" t="s">
        <v>60</v>
      </c>
      <c r="P4" s="15" t="s">
        <v>61</v>
      </c>
      <c r="T4" s="2" t="s">
        <v>42</v>
      </c>
      <c r="U4" s="8" t="str">
        <f>IF(NOT(ISERROR(FIND("!=",N12))),"Two",IF(NOT(ISERROR(FIND("&lt;",N12))),"Left","Right"))</f>
        <v>Right</v>
      </c>
      <c r="V4" s="8"/>
    </row>
    <row r="5" spans="1:23">
      <c r="A5" s="1"/>
      <c r="B5" s="51"/>
      <c r="C5" s="51"/>
      <c r="D5" s="51"/>
      <c r="E5" s="51"/>
      <c r="F5" s="51"/>
      <c r="G5" s="51"/>
      <c r="H5" s="51"/>
      <c r="I5" s="51"/>
      <c r="K5" s="28"/>
      <c r="L5" s="12"/>
      <c r="M5" s="12"/>
      <c r="N5" s="13" t="s">
        <v>12</v>
      </c>
      <c r="O5" s="15">
        <v>16</v>
      </c>
      <c r="P5" s="15">
        <v>18</v>
      </c>
      <c r="U5" t="str">
        <f>O4</f>
        <v>public</v>
      </c>
      <c r="V5" t="str">
        <f>P4</f>
        <v>private</v>
      </c>
    </row>
    <row r="6" spans="1:23">
      <c r="A6" s="1"/>
      <c r="B6" s="51"/>
      <c r="C6" s="51"/>
      <c r="D6" s="51"/>
      <c r="E6" s="51"/>
      <c r="F6" s="51"/>
      <c r="G6" s="51"/>
      <c r="H6" s="51"/>
      <c r="I6" s="51"/>
      <c r="K6" s="28"/>
      <c r="L6" s="12"/>
      <c r="M6" s="12"/>
      <c r="N6" s="13" t="s">
        <v>13</v>
      </c>
      <c r="O6" s="34">
        <v>12840</v>
      </c>
      <c r="P6" s="34">
        <v>11045</v>
      </c>
      <c r="T6" s="2" t="s">
        <v>67</v>
      </c>
      <c r="U6" s="8">
        <f>O7^2/O5</f>
        <v>43576.5625</v>
      </c>
      <c r="V6" s="8">
        <f>P7^2/P5</f>
        <v>132612.5</v>
      </c>
    </row>
    <row r="7" spans="1:23">
      <c r="A7" s="1"/>
      <c r="B7" s="51"/>
      <c r="C7" s="51"/>
      <c r="D7" s="51"/>
      <c r="E7" s="51"/>
      <c r="F7" s="51"/>
      <c r="G7" s="51"/>
      <c r="H7" s="51"/>
      <c r="I7" s="51"/>
      <c r="K7" s="28"/>
      <c r="L7" s="12"/>
      <c r="M7" s="12"/>
      <c r="N7" s="13" t="s">
        <v>66</v>
      </c>
      <c r="O7" s="34">
        <v>835</v>
      </c>
      <c r="P7" s="34">
        <v>1545</v>
      </c>
      <c r="T7" s="2" t="s">
        <v>68</v>
      </c>
      <c r="U7" s="8">
        <f>U6^2</f>
        <v>1898916799.3164063</v>
      </c>
      <c r="V7" s="8">
        <f>V6^2</f>
        <v>17586075156.25</v>
      </c>
      <c r="W7" s="23"/>
    </row>
    <row r="8" spans="1:23">
      <c r="A8" s="1"/>
      <c r="B8" s="51"/>
      <c r="C8" s="51"/>
      <c r="D8" s="51"/>
      <c r="E8" s="51"/>
      <c r="F8" s="51"/>
      <c r="G8" s="51"/>
      <c r="H8" s="51"/>
      <c r="I8" s="51"/>
      <c r="K8" s="28"/>
      <c r="L8" s="12"/>
      <c r="M8" s="12"/>
      <c r="N8" s="13" t="s">
        <v>57</v>
      </c>
      <c r="O8" s="15">
        <v>0.05</v>
      </c>
      <c r="P8" s="29">
        <f>O8</f>
        <v>0.05</v>
      </c>
      <c r="T8" s="2" t="s">
        <v>69</v>
      </c>
      <c r="U8" s="8">
        <f>O5-1</f>
        <v>15</v>
      </c>
      <c r="V8" s="8">
        <f>P5-1</f>
        <v>17</v>
      </c>
      <c r="W8" s="23"/>
    </row>
    <row r="9" spans="1:23">
      <c r="A9" s="1"/>
      <c r="B9" s="51"/>
      <c r="C9" s="51"/>
      <c r="D9" s="51"/>
      <c r="E9" s="51"/>
      <c r="F9" s="51"/>
      <c r="G9" s="51"/>
      <c r="H9" s="51"/>
      <c r="I9" s="51"/>
      <c r="K9" s="9"/>
      <c r="L9" s="9"/>
      <c r="M9" s="9"/>
      <c r="N9" s="9"/>
      <c r="O9" s="9"/>
      <c r="P9" s="9"/>
      <c r="T9" s="2" t="s">
        <v>2</v>
      </c>
      <c r="U9" s="8">
        <f>_xlfn.FLOOR.MATH((U6+V6)^2/((U7/U8)+(V7/V8)))</f>
        <v>26</v>
      </c>
      <c r="V9" s="8"/>
      <c r="W9" s="9"/>
    </row>
    <row r="10" spans="1:23">
      <c r="A10" s="1"/>
      <c r="B10" s="51"/>
      <c r="C10" s="51"/>
      <c r="D10" s="51"/>
      <c r="E10" s="51"/>
      <c r="F10" s="51"/>
      <c r="G10" s="51"/>
      <c r="H10" s="51"/>
      <c r="I10" s="51"/>
      <c r="K10" s="18" t="s">
        <v>7</v>
      </c>
      <c r="L10" s="11" t="s">
        <v>27</v>
      </c>
      <c r="O10" s="9"/>
      <c r="P10" s="9"/>
      <c r="T10" s="2" t="s">
        <v>41</v>
      </c>
      <c r="U10" s="8" t="str">
        <f>IF(U4="Two",P16/2,IF(U4="Left",P16,""))</f>
        <v/>
      </c>
      <c r="V10" s="8" t="str">
        <f>IFERROR(ROUND(_xlfn.NORM.S.INV(U10),3),"")</f>
        <v/>
      </c>
    </row>
    <row r="11" spans="1:23">
      <c r="A11" s="1"/>
      <c r="B11" s="51"/>
      <c r="C11" s="51"/>
      <c r="D11" s="51"/>
      <c r="E11" s="51"/>
      <c r="F11" s="51"/>
      <c r="G11" s="51"/>
      <c r="H11" s="51"/>
      <c r="I11" s="51"/>
      <c r="K11" s="9"/>
      <c r="L11" s="9"/>
      <c r="M11" s="25" t="s">
        <v>15</v>
      </c>
      <c r="N11" s="26" t="s">
        <v>64</v>
      </c>
      <c r="O11" s="12"/>
      <c r="P11" s="3"/>
      <c r="T11" s="2" t="s">
        <v>43</v>
      </c>
      <c r="U11" s="8">
        <f>IF(U4="Two",1-P16/2,IF(U4="Left","",1-P16))</f>
        <v>0.95</v>
      </c>
      <c r="V11" s="8">
        <f>IF(P23="z-value",IFERROR(ROUND(_xlfn.NORM.S.INV(U11),3),""),ROUND(_xlfn.T.INV(U11,U9),3))</f>
        <v>1.706</v>
      </c>
    </row>
    <row r="12" spans="1:23">
      <c r="A12" s="1"/>
      <c r="B12" s="51"/>
      <c r="C12" s="51"/>
      <c r="D12" s="51"/>
      <c r="E12" s="51"/>
      <c r="F12" s="51"/>
      <c r="G12" s="51"/>
      <c r="H12" s="51"/>
      <c r="I12" s="51"/>
      <c r="K12" s="11"/>
      <c r="L12" s="9"/>
      <c r="M12" s="25" t="s">
        <v>16</v>
      </c>
      <c r="N12" s="26" t="s">
        <v>63</v>
      </c>
      <c r="O12" s="12"/>
      <c r="P12" s="3"/>
      <c r="U12" s="5" t="s">
        <v>39</v>
      </c>
      <c r="V12" s="6" t="str">
        <f>IF(U4="Left",P23&amp;" &lt; "&amp;V10,IF(U4="Right",P23&amp;" &gt; "&amp;V11,P23&amp;" &lt; "&amp;V10&amp;" OR "&amp;P23&amp;" &gt; "&amp;V11))</f>
        <v>t-value &gt; 1.706</v>
      </c>
    </row>
    <row r="13" spans="1:23">
      <c r="A13" s="1"/>
      <c r="B13" s="51"/>
      <c r="C13" s="51"/>
      <c r="D13" s="51"/>
      <c r="E13" s="51"/>
      <c r="F13" s="51"/>
      <c r="G13" s="51"/>
      <c r="H13" s="51"/>
      <c r="I13" s="51"/>
      <c r="L13" s="52" t="s">
        <v>65</v>
      </c>
      <c r="M13" s="52"/>
      <c r="N13" s="52"/>
      <c r="O13" s="52"/>
      <c r="P13" s="52"/>
    </row>
    <row r="14" spans="1:23">
      <c r="A14" s="1"/>
      <c r="B14" s="51"/>
      <c r="C14" s="51"/>
      <c r="D14" s="51"/>
      <c r="E14" s="51"/>
      <c r="F14" s="51"/>
      <c r="G14" s="51"/>
      <c r="H14" s="51"/>
      <c r="I14" s="51"/>
      <c r="R14" s="18" t="s">
        <v>46</v>
      </c>
      <c r="S14" s="11" t="s">
        <v>45</v>
      </c>
      <c r="T14" s="9"/>
      <c r="U14" s="9"/>
      <c r="V14" s="9"/>
    </row>
    <row r="15" spans="1:23">
      <c r="A15" s="1"/>
      <c r="B15" s="51"/>
      <c r="C15" s="51"/>
      <c r="D15" s="51"/>
      <c r="E15" s="51"/>
      <c r="F15" s="51"/>
      <c r="G15" s="51"/>
      <c r="H15" s="51"/>
      <c r="I15" s="51"/>
      <c r="K15" s="18" t="s">
        <v>8</v>
      </c>
      <c r="L15" s="11" t="s">
        <v>28</v>
      </c>
      <c r="M15" s="9"/>
      <c r="N15" s="9"/>
      <c r="O15" s="9"/>
      <c r="P15" s="9"/>
      <c r="R15" s="11"/>
      <c r="S15" s="9"/>
      <c r="T15" s="2" t="s">
        <v>36</v>
      </c>
      <c r="U15" s="32">
        <f>O6-P6</f>
        <v>1795</v>
      </c>
    </row>
    <row r="16" spans="1:23">
      <c r="B16" s="51"/>
      <c r="C16" s="51"/>
      <c r="D16" s="51"/>
      <c r="E16" s="51"/>
      <c r="F16" s="51"/>
      <c r="G16" s="51"/>
      <c r="H16" s="51"/>
      <c r="I16" s="51"/>
      <c r="K16" s="9"/>
      <c r="L16" s="9"/>
      <c r="O16" s="20" t="s">
        <v>3</v>
      </c>
      <c r="P16" s="24">
        <f>O8</f>
        <v>0.05</v>
      </c>
      <c r="R16" s="9"/>
      <c r="S16" s="9"/>
      <c r="T16" s="2"/>
      <c r="U16" s="1" t="str">
        <f>O4</f>
        <v>public</v>
      </c>
      <c r="V16" s="1" t="str">
        <f>P4</f>
        <v>private</v>
      </c>
    </row>
    <row r="17" spans="1:23" ht="12" customHeight="1">
      <c r="B17" s="51"/>
      <c r="C17" s="51"/>
      <c r="D17" s="51"/>
      <c r="E17" s="51"/>
      <c r="F17" s="51"/>
      <c r="G17" s="51"/>
      <c r="H17" s="51"/>
      <c r="I17" s="51"/>
      <c r="K17" s="19"/>
      <c r="L17" s="9"/>
      <c r="M17" s="9"/>
      <c r="N17" s="9"/>
      <c r="O17" s="9"/>
      <c r="P17" s="9"/>
      <c r="R17" s="9"/>
      <c r="S17" s="9"/>
      <c r="T17" s="2" t="s">
        <v>67</v>
      </c>
      <c r="U17" s="8">
        <f>O7^2/O5</f>
        <v>43576.5625</v>
      </c>
      <c r="V17" s="8">
        <f>P7^2/P5</f>
        <v>132612.5</v>
      </c>
    </row>
    <row r="18" spans="1:23">
      <c r="B18" s="1"/>
      <c r="C18" s="31"/>
      <c r="D18" s="31"/>
      <c r="K18" s="18" t="s">
        <v>9</v>
      </c>
      <c r="L18" s="11" t="s">
        <v>34</v>
      </c>
      <c r="M18" s="9"/>
      <c r="N18" s="9"/>
      <c r="O18" s="9"/>
      <c r="P18" s="9"/>
      <c r="R18" s="9"/>
      <c r="S18" s="9"/>
      <c r="T18" s="2" t="str">
        <f>"Test statistic: "&amp;P23</f>
        <v>Test statistic: t-value</v>
      </c>
      <c r="U18" s="8">
        <f>ROUND(U15/SQRT((U17+V17)),3)</f>
        <v>4.2759999999999998</v>
      </c>
      <c r="V18" s="8"/>
    </row>
    <row r="19" spans="1:23">
      <c r="F19" s="1" t="s">
        <v>72</v>
      </c>
      <c r="M19" s="21"/>
      <c r="O19" s="22" t="s">
        <v>38</v>
      </c>
      <c r="P19" s="21" t="b">
        <f>AND(O7&lt;&gt;"",P7&lt;&gt;"")</f>
        <v>1</v>
      </c>
      <c r="U19" t="str">
        <f>SUBSTITUTE(V12,P23,U18)</f>
        <v>4.276 &gt; 1.706</v>
      </c>
    </row>
    <row r="20" spans="1:23">
      <c r="F20" t="s">
        <v>60</v>
      </c>
      <c r="G20" t="s">
        <v>61</v>
      </c>
      <c r="K20" s="11"/>
      <c r="M20" s="21"/>
      <c r="O20" s="22" t="s">
        <v>62</v>
      </c>
      <c r="P20" s="14" t="b">
        <f>O7=P7</f>
        <v>0</v>
      </c>
      <c r="T20" s="8"/>
      <c r="U20" s="3" t="b">
        <v>1</v>
      </c>
    </row>
    <row r="21" spans="1:23">
      <c r="E21" s="2" t="s">
        <v>70</v>
      </c>
      <c r="F21" s="33">
        <v>21045</v>
      </c>
      <c r="G21" s="33">
        <v>22840</v>
      </c>
      <c r="O21" s="22" t="s">
        <v>32</v>
      </c>
      <c r="P21" s="21" t="b">
        <v>1</v>
      </c>
      <c r="S21" s="11" t="str">
        <f>IF(U20,"Reject H0", "Fail to Reject H0")</f>
        <v>Reject H0</v>
      </c>
    </row>
    <row r="22" spans="1:23">
      <c r="E22" s="2" t="s">
        <v>71</v>
      </c>
      <c r="F22" s="33">
        <v>12840</v>
      </c>
      <c r="G22" s="33">
        <v>11045</v>
      </c>
    </row>
    <row r="23" spans="1:23">
      <c r="C23" s="31"/>
      <c r="D23" s="31"/>
      <c r="O23" s="5" t="s">
        <v>35</v>
      </c>
      <c r="P23" s="17" t="str">
        <f>IF(AND(P19,P21,P20),"z-value","t-value")</f>
        <v>t-value</v>
      </c>
      <c r="R23" s="18" t="s">
        <v>47</v>
      </c>
      <c r="S23" s="1" t="s">
        <v>48</v>
      </c>
    </row>
    <row r="24" spans="1:23">
      <c r="C24" s="31"/>
      <c r="D24" s="31"/>
      <c r="S24" t="s">
        <v>1</v>
      </c>
      <c r="T24">
        <f>ROUND(IF(U4="Right",_xlfn.T.DIST.RT(ABS(U18),U9),IF(U4="Left",1-_xlfn.T.DIST(ABS(U18),U9,TRUE),_xlfn.T.DIST.2T(ABS(U18),U9))),4)</f>
        <v>1E-4</v>
      </c>
    </row>
    <row r="25" spans="1:23" ht="12" customHeight="1">
      <c r="C25" s="31"/>
      <c r="D25" s="31"/>
      <c r="S25" s="11" t="str">
        <f>IF(T24&lt;P16,"Reject H0", "Fail to Reject H0")</f>
        <v>Reject H0</v>
      </c>
    </row>
    <row r="26" spans="1:23">
      <c r="C26" s="31"/>
      <c r="D26" s="31"/>
      <c r="S26" s="54" t="str">
        <f>"We can"&amp;IF(U20,"","not")&amp;" conclude that "&amp;L13&amp;"."</f>
        <v>We can conclude that cost of private adoptions is higher.</v>
      </c>
      <c r="T26" s="54"/>
      <c r="U26" s="54"/>
      <c r="V26" s="54"/>
      <c r="W26" s="54"/>
    </row>
    <row r="27" spans="1:23" ht="12" customHeight="1">
      <c r="C27" s="31"/>
      <c r="D27" s="31"/>
      <c r="S27" s="54"/>
      <c r="T27" s="54"/>
      <c r="U27" s="54"/>
      <c r="V27" s="54"/>
      <c r="W27" s="54"/>
    </row>
    <row r="28" spans="1:23">
      <c r="C28" s="31"/>
      <c r="D28" s="8"/>
      <c r="S28" s="54"/>
      <c r="T28" s="54"/>
      <c r="U28" s="54"/>
      <c r="V28" s="54"/>
      <c r="W28" s="54"/>
    </row>
    <row r="29" spans="1:23">
      <c r="C29" s="31"/>
      <c r="D29" s="8"/>
      <c r="S29" s="54"/>
      <c r="T29" s="54"/>
      <c r="U29" s="54"/>
      <c r="V29" s="54"/>
      <c r="W29" s="54"/>
    </row>
    <row r="30" spans="1:23">
      <c r="A30" s="1" t="s">
        <v>4</v>
      </c>
      <c r="K30" s="1" t="s">
        <v>5</v>
      </c>
    </row>
    <row r="31" spans="1:23" ht="12" customHeight="1">
      <c r="A31" s="1" t="s">
        <v>121</v>
      </c>
      <c r="B31" s="51" t="s">
        <v>118</v>
      </c>
      <c r="C31" s="51"/>
      <c r="D31" s="51"/>
      <c r="E31" s="51"/>
      <c r="F31" s="51"/>
      <c r="G31" s="51"/>
      <c r="H31" s="51"/>
      <c r="I31" s="51"/>
      <c r="K31" s="1" t="s">
        <v>56</v>
      </c>
    </row>
    <row r="32" spans="1:23">
      <c r="A32" s="1"/>
      <c r="B32" s="51"/>
      <c r="C32" s="51"/>
      <c r="D32" s="51"/>
      <c r="E32" s="51"/>
      <c r="F32" s="51"/>
      <c r="G32" s="51"/>
      <c r="H32" s="51"/>
      <c r="I32" s="51"/>
      <c r="K32" s="18" t="s">
        <v>25</v>
      </c>
      <c r="L32" s="11" t="s">
        <v>26</v>
      </c>
      <c r="M32" s="10"/>
      <c r="N32" s="9"/>
      <c r="O32" s="9"/>
      <c r="P32" s="9"/>
      <c r="R32" s="18" t="s">
        <v>10</v>
      </c>
      <c r="S32" s="11" t="s">
        <v>33</v>
      </c>
    </row>
    <row r="33" spans="1:23">
      <c r="A33" s="1"/>
      <c r="B33" s="51"/>
      <c r="C33" s="51"/>
      <c r="D33" s="51"/>
      <c r="E33" s="51"/>
      <c r="F33" s="51"/>
      <c r="G33" s="51"/>
      <c r="H33" s="51"/>
      <c r="I33" s="51"/>
      <c r="K33" s="11"/>
      <c r="L33" s="11"/>
      <c r="N33" s="10"/>
      <c r="O33" s="15" t="s">
        <v>119</v>
      </c>
      <c r="P33" s="15" t="s">
        <v>120</v>
      </c>
      <c r="T33" s="2" t="s">
        <v>42</v>
      </c>
      <c r="U33" s="8" t="str">
        <f>IF(NOT(ISERROR(FIND("!=",N41))),"Two",IF(NOT(ISERROR(FIND("&lt;",N41))),"Left","Right"))</f>
        <v>Two</v>
      </c>
      <c r="V33" s="8"/>
    </row>
    <row r="34" spans="1:23">
      <c r="A34" s="1"/>
      <c r="B34" s="51"/>
      <c r="C34" s="51"/>
      <c r="D34" s="51"/>
      <c r="E34" s="51"/>
      <c r="F34" s="51"/>
      <c r="G34" s="51"/>
      <c r="H34" s="51"/>
      <c r="I34" s="51"/>
      <c r="K34" s="28"/>
      <c r="L34" s="12"/>
      <c r="M34" s="12"/>
      <c r="N34" s="13" t="s">
        <v>12</v>
      </c>
      <c r="O34" s="15">
        <v>12</v>
      </c>
      <c r="P34" s="15">
        <v>12</v>
      </c>
      <c r="U34" t="str">
        <f>O33</f>
        <v>Apple</v>
      </c>
      <c r="V34" t="str">
        <f>P33</f>
        <v>Spotify</v>
      </c>
    </row>
    <row r="35" spans="1:23">
      <c r="A35" s="1"/>
      <c r="B35" s="51"/>
      <c r="C35" s="51"/>
      <c r="D35" s="51"/>
      <c r="E35" s="51"/>
      <c r="F35" s="51"/>
      <c r="G35" s="51"/>
      <c r="H35" s="51"/>
      <c r="I35" s="51"/>
      <c r="K35" s="28"/>
      <c r="L35" s="12"/>
      <c r="M35" s="12"/>
      <c r="N35" s="13" t="s">
        <v>13</v>
      </c>
      <c r="O35" s="45">
        <v>1.65</v>
      </c>
      <c r="P35" s="46">
        <v>2.2000000000000002</v>
      </c>
      <c r="T35" s="2" t="s">
        <v>67</v>
      </c>
      <c r="U35" s="8">
        <f>O36^2/O34</f>
        <v>2.6133333333333338E-2</v>
      </c>
      <c r="V35" s="8">
        <f>P36^2/P34</f>
        <v>7.4999999999999997E-3</v>
      </c>
    </row>
    <row r="36" spans="1:23">
      <c r="A36" s="1"/>
      <c r="B36" s="51"/>
      <c r="C36" s="51"/>
      <c r="D36" s="51"/>
      <c r="E36" s="51"/>
      <c r="F36" s="51"/>
      <c r="G36" s="51"/>
      <c r="H36" s="51"/>
      <c r="I36" s="51"/>
      <c r="K36" s="28"/>
      <c r="L36" s="12"/>
      <c r="M36" s="12"/>
      <c r="N36" s="13" t="s">
        <v>66</v>
      </c>
      <c r="O36" s="45">
        <v>0.56000000000000005</v>
      </c>
      <c r="P36" s="46">
        <v>0.3</v>
      </c>
      <c r="T36" s="2" t="s">
        <v>68</v>
      </c>
      <c r="U36" s="8">
        <f>U35^2</f>
        <v>6.8295111111111141E-4</v>
      </c>
      <c r="V36" s="8">
        <f>V35^2</f>
        <v>5.6249999999999998E-5</v>
      </c>
      <c r="W36" s="23"/>
    </row>
    <row r="37" spans="1:23">
      <c r="A37" s="1"/>
      <c r="B37" s="51"/>
      <c r="C37" s="51"/>
      <c r="D37" s="51"/>
      <c r="E37" s="51"/>
      <c r="F37" s="51"/>
      <c r="G37" s="51"/>
      <c r="H37" s="51"/>
      <c r="I37" s="51"/>
      <c r="K37" s="28"/>
      <c r="L37" s="12"/>
      <c r="M37" s="12"/>
      <c r="N37" s="13" t="s">
        <v>57</v>
      </c>
      <c r="O37" s="15">
        <v>0.05</v>
      </c>
      <c r="P37" s="29">
        <f>O37</f>
        <v>0.05</v>
      </c>
      <c r="T37" s="2" t="s">
        <v>69</v>
      </c>
      <c r="U37" s="8">
        <f>O34-1</f>
        <v>11</v>
      </c>
      <c r="V37" s="8">
        <f>P34-1</f>
        <v>11</v>
      </c>
      <c r="W37" s="23"/>
    </row>
    <row r="38" spans="1:23">
      <c r="A38" s="1"/>
      <c r="B38" s="51"/>
      <c r="C38" s="51"/>
      <c r="D38" s="51"/>
      <c r="E38" s="51"/>
      <c r="F38" s="51"/>
      <c r="G38" s="51"/>
      <c r="H38" s="51"/>
      <c r="I38" s="51"/>
      <c r="K38" s="9"/>
      <c r="L38" s="9"/>
      <c r="M38" s="9"/>
      <c r="N38" s="9"/>
      <c r="O38" s="9"/>
      <c r="P38" s="9"/>
      <c r="T38" s="2" t="s">
        <v>2</v>
      </c>
      <c r="U38" s="8">
        <f>_xlfn.FLOOR.MATH((U35+V35)^2/((U36/U37)+(V36/V37)))</f>
        <v>16</v>
      </c>
      <c r="V38" s="8"/>
      <c r="W38" s="9"/>
    </row>
    <row r="39" spans="1:23">
      <c r="A39" s="1"/>
      <c r="B39" s="51"/>
      <c r="C39" s="51"/>
      <c r="D39" s="51"/>
      <c r="E39" s="51"/>
      <c r="F39" s="51"/>
      <c r="G39" s="51"/>
      <c r="H39" s="51"/>
      <c r="I39" s="51"/>
      <c r="K39" s="18" t="s">
        <v>7</v>
      </c>
      <c r="L39" s="11" t="s">
        <v>27</v>
      </c>
      <c r="O39" s="9"/>
      <c r="P39" s="9"/>
      <c r="T39" s="2" t="s">
        <v>41</v>
      </c>
      <c r="U39" s="8">
        <f>IF(U33="Two",P45/2,IF(U33="Left",P45,""))</f>
        <v>2.5000000000000001E-2</v>
      </c>
      <c r="V39" s="8">
        <f>IF(P52="z-value",IFERROR(ROUND(_xlfn.NORM.S.INV(U39),3),""),IFERROR(ROUND(_xlfn.T.INV(U39,U38),3),""))</f>
        <v>-2.12</v>
      </c>
    </row>
    <row r="40" spans="1:23">
      <c r="A40" s="1"/>
      <c r="B40" s="51"/>
      <c r="C40" s="51"/>
      <c r="D40" s="51"/>
      <c r="E40" s="51"/>
      <c r="F40" s="51"/>
      <c r="G40" s="51"/>
      <c r="H40" s="51"/>
      <c r="I40" s="51"/>
      <c r="K40" s="9"/>
      <c r="L40" s="9"/>
      <c r="M40" s="25" t="s">
        <v>15</v>
      </c>
      <c r="N40" s="26" t="str">
        <f>"xbar"&amp;O33&amp;" = "&amp;"xbar"&amp;P33</f>
        <v>xbarApple = xbarSpotify</v>
      </c>
      <c r="O40" s="12"/>
      <c r="P40" s="3"/>
      <c r="T40" s="2" t="s">
        <v>43</v>
      </c>
      <c r="U40" s="8">
        <f>IF(U33="Two",1-P45/2,IF(U33="Left","",1-P45))</f>
        <v>0.97499999999999998</v>
      </c>
      <c r="V40" s="8">
        <f>IF(P52="z-value",IFERROR(ROUND(_xlfn.NORM.S.INV(U40),3),""),IFERROR(ROUND(_xlfn.T.INV(U40,U38),3),""))</f>
        <v>2.12</v>
      </c>
    </row>
    <row r="41" spans="1:23">
      <c r="A41" s="1"/>
      <c r="B41" s="51"/>
      <c r="C41" s="51"/>
      <c r="D41" s="51"/>
      <c r="E41" s="51"/>
      <c r="F41" s="51"/>
      <c r="G41" s="51"/>
      <c r="H41" s="51"/>
      <c r="I41" s="51"/>
      <c r="K41" s="11"/>
      <c r="L41" s="9"/>
      <c r="M41" s="25" t="s">
        <v>16</v>
      </c>
      <c r="N41" s="26" t="str">
        <f>"xbar"&amp;O33&amp;" != "&amp;"xbar"&amp;P33</f>
        <v>xbarApple != xbarSpotify</v>
      </c>
      <c r="O41" s="12"/>
      <c r="P41" s="3"/>
      <c r="U41" s="5" t="s">
        <v>39</v>
      </c>
      <c r="V41" s="6" t="str">
        <f>IF(U33="Left",P52&amp;" &lt; "&amp;V39,IF(U33="Right",P52&amp;" &gt; "&amp;V40,P52&amp;" &lt; "&amp;V39&amp;" OR "&amp;P52&amp;" &gt; "&amp;V40))</f>
        <v>t-value &lt; -2.12 OR t-value &gt; 2.12</v>
      </c>
    </row>
    <row r="42" spans="1:23">
      <c r="A42" s="1"/>
      <c r="B42" s="16"/>
      <c r="C42" s="16"/>
      <c r="D42" s="16"/>
      <c r="E42" s="16"/>
      <c r="F42" s="16"/>
      <c r="G42" s="16"/>
      <c r="H42" s="16"/>
      <c r="I42" s="16"/>
      <c r="L42" s="52" t="s">
        <v>122</v>
      </c>
      <c r="M42" s="52"/>
      <c r="N42" s="52"/>
      <c r="O42" s="52"/>
      <c r="P42" s="52"/>
    </row>
    <row r="43" spans="1:23">
      <c r="A43" s="1"/>
      <c r="B43" s="16"/>
      <c r="C43" s="16"/>
      <c r="D43" s="16"/>
      <c r="E43" s="16"/>
      <c r="F43" s="16"/>
      <c r="G43" s="16"/>
      <c r="H43" s="16"/>
      <c r="I43" s="16"/>
      <c r="R43" s="18" t="s">
        <v>46</v>
      </c>
      <c r="S43" s="11" t="s">
        <v>45</v>
      </c>
      <c r="T43" s="9"/>
      <c r="U43" s="9"/>
      <c r="V43" s="9"/>
    </row>
    <row r="44" spans="1:23">
      <c r="A44" s="1"/>
      <c r="B44" s="16"/>
      <c r="C44" s="16"/>
      <c r="D44" s="16"/>
      <c r="E44" s="16"/>
      <c r="F44" s="16"/>
      <c r="G44" s="16"/>
      <c r="H44" s="16"/>
      <c r="I44" s="16"/>
      <c r="K44" s="18" t="s">
        <v>8</v>
      </c>
      <c r="L44" s="11" t="s">
        <v>28</v>
      </c>
      <c r="M44" s="9"/>
      <c r="N44" s="9"/>
      <c r="O44" s="9"/>
      <c r="P44" s="9"/>
      <c r="R44" s="11"/>
      <c r="S44" s="9"/>
      <c r="T44" s="2" t="s">
        <v>36</v>
      </c>
      <c r="U44" s="32">
        <f>O35-P35</f>
        <v>-0.55000000000000027</v>
      </c>
    </row>
    <row r="45" spans="1:23">
      <c r="B45" s="16"/>
      <c r="C45" s="16"/>
      <c r="D45" s="16"/>
      <c r="E45" s="16"/>
      <c r="F45" s="16"/>
      <c r="G45" s="16"/>
      <c r="H45" s="16"/>
      <c r="I45" s="16"/>
      <c r="K45" s="9"/>
      <c r="L45" s="9"/>
      <c r="O45" s="20" t="s">
        <v>3</v>
      </c>
      <c r="P45" s="24">
        <f>O37</f>
        <v>0.05</v>
      </c>
      <c r="R45" s="9"/>
      <c r="S45" s="9"/>
      <c r="T45" s="2"/>
      <c r="U45" s="1" t="str">
        <f>O33</f>
        <v>Apple</v>
      </c>
      <c r="V45" s="1" t="str">
        <f>P33</f>
        <v>Spotify</v>
      </c>
    </row>
    <row r="46" spans="1:23">
      <c r="B46" s="16"/>
      <c r="C46" s="16"/>
      <c r="D46" s="16"/>
      <c r="E46" s="16"/>
      <c r="F46" s="16"/>
      <c r="G46" s="16"/>
      <c r="H46" s="16"/>
      <c r="I46" s="16"/>
      <c r="K46" s="19"/>
      <c r="L46" s="9"/>
      <c r="M46" s="9"/>
      <c r="N46" s="9"/>
      <c r="O46" s="9"/>
      <c r="P46" s="9"/>
      <c r="R46" s="9"/>
      <c r="S46" s="9"/>
      <c r="T46" s="2" t="s">
        <v>67</v>
      </c>
      <c r="U46" s="8">
        <f>O36^2/O34</f>
        <v>2.6133333333333338E-2</v>
      </c>
      <c r="V46" s="8">
        <f>P36^2/P34</f>
        <v>7.4999999999999997E-3</v>
      </c>
    </row>
    <row r="47" spans="1:23">
      <c r="B47" s="1"/>
      <c r="C47" s="31"/>
      <c r="D47" s="31"/>
      <c r="K47" s="18" t="s">
        <v>9</v>
      </c>
      <c r="L47" s="11" t="s">
        <v>34</v>
      </c>
      <c r="M47" s="9"/>
      <c r="N47" s="9"/>
      <c r="O47" s="9"/>
      <c r="P47" s="9"/>
      <c r="R47" s="9"/>
      <c r="S47" s="9"/>
      <c r="T47" s="2" t="str">
        <f>"Test statistic: "&amp;P52</f>
        <v>Test statistic: t-value</v>
      </c>
      <c r="U47" s="8">
        <f>ROUND(U44/SQRT((U46+V46)),3)</f>
        <v>-2.9990000000000001</v>
      </c>
      <c r="V47" s="8"/>
    </row>
    <row r="48" spans="1:23">
      <c r="F48" s="1"/>
      <c r="M48" s="21"/>
      <c r="O48" s="22" t="s">
        <v>38</v>
      </c>
      <c r="P48" s="21" t="b">
        <f>AND(O36&lt;&gt;"",P36&lt;&gt;"")</f>
        <v>1</v>
      </c>
      <c r="U48" t="str">
        <f>SUBSTITUTE(V41,P52,U47)</f>
        <v>-2.999 &lt; -2.12 OR -2.999 &gt; 2.12</v>
      </c>
    </row>
    <row r="49" spans="1:23">
      <c r="K49" s="11"/>
      <c r="M49" s="21"/>
      <c r="O49" s="22" t="s">
        <v>62</v>
      </c>
      <c r="P49" s="14" t="b">
        <f>O36=P36</f>
        <v>0</v>
      </c>
      <c r="T49" s="8"/>
      <c r="U49" s="3" t="b">
        <v>1</v>
      </c>
    </row>
    <row r="50" spans="1:23">
      <c r="E50" s="2"/>
      <c r="F50" s="33"/>
      <c r="G50" s="33"/>
      <c r="O50" s="22" t="s">
        <v>32</v>
      </c>
      <c r="P50" s="21" t="b">
        <v>1</v>
      </c>
      <c r="S50" s="11" t="str">
        <f>IF(U49,"Reject H0", "Fail to Reject H0")</f>
        <v>Reject H0</v>
      </c>
    </row>
    <row r="51" spans="1:23">
      <c r="E51" s="2"/>
      <c r="F51" s="33"/>
      <c r="G51" s="33"/>
    </row>
    <row r="52" spans="1:23">
      <c r="C52" s="31"/>
      <c r="D52" s="31"/>
      <c r="O52" s="5" t="s">
        <v>35</v>
      </c>
      <c r="P52" s="17" t="str">
        <f>IF(AND(P48,P50,P49),"z-value","t-value")</f>
        <v>t-value</v>
      </c>
      <c r="R52" s="18" t="s">
        <v>47</v>
      </c>
      <c r="S52" s="1" t="s">
        <v>48</v>
      </c>
    </row>
    <row r="53" spans="1:23">
      <c r="C53" s="31"/>
      <c r="D53" s="31"/>
      <c r="S53" t="s">
        <v>1</v>
      </c>
      <c r="T53">
        <f>ROUND(IF(U33="Right",_xlfn.T.DIST.RT(ABS(U47),U38),IF(U33="Left",1-_xlfn.T.DIST(ABS(U47),U38,TRUE),_xlfn.T.DIST.2T(ABS(U47),U38))),4)</f>
        <v>8.5000000000000006E-3</v>
      </c>
    </row>
    <row r="54" spans="1:23">
      <c r="S54" s="11" t="str">
        <f>IF(T53&lt;P45,"Reject H0", "Fail to Reject H0")</f>
        <v>Reject H0</v>
      </c>
    </row>
    <row r="55" spans="1:23">
      <c r="S55" s="54" t="str">
        <f>"We can"&amp;IF(U49,"","not")&amp;" conclude that "&amp;L42&amp;"."</f>
        <v>We can conclude that there is a difference in the mean number of households picking either service.</v>
      </c>
      <c r="T55" s="54"/>
      <c r="U55" s="54"/>
      <c r="V55" s="54"/>
      <c r="W55" s="54"/>
    </row>
    <row r="56" spans="1:23">
      <c r="S56" s="54"/>
      <c r="T56" s="54"/>
      <c r="U56" s="54"/>
      <c r="V56" s="54"/>
      <c r="W56" s="54"/>
    </row>
    <row r="57" spans="1:23">
      <c r="S57" s="54"/>
      <c r="T57" s="54"/>
      <c r="U57" s="54"/>
      <c r="V57" s="54"/>
      <c r="W57" s="54"/>
    </row>
    <row r="58" spans="1:23">
      <c r="S58" s="54"/>
      <c r="T58" s="54"/>
      <c r="U58" s="54"/>
      <c r="V58" s="54"/>
      <c r="W58" s="54"/>
    </row>
    <row r="60" spans="1:23">
      <c r="A60" s="1" t="s">
        <v>4</v>
      </c>
      <c r="K60" s="1" t="s">
        <v>5</v>
      </c>
    </row>
    <row r="61" spans="1:23">
      <c r="A61" s="1" t="s">
        <v>123</v>
      </c>
      <c r="B61" s="51" t="s">
        <v>126</v>
      </c>
      <c r="C61" s="51"/>
      <c r="D61" s="51"/>
      <c r="E61" s="51"/>
      <c r="F61" s="51"/>
      <c r="G61" s="51"/>
      <c r="H61" s="51"/>
      <c r="I61" s="51"/>
      <c r="K61" s="1" t="s">
        <v>56</v>
      </c>
    </row>
    <row r="62" spans="1:23">
      <c r="A62" s="1"/>
      <c r="B62" s="51"/>
      <c r="C62" s="51"/>
      <c r="D62" s="51"/>
      <c r="E62" s="51"/>
      <c r="F62" s="51"/>
      <c r="G62" s="51"/>
      <c r="H62" s="51"/>
      <c r="I62" s="51"/>
      <c r="K62" s="18" t="s">
        <v>25</v>
      </c>
      <c r="L62" s="11" t="s">
        <v>26</v>
      </c>
      <c r="M62" s="10"/>
      <c r="N62" s="9"/>
      <c r="O62" s="9"/>
      <c r="P62" s="9"/>
      <c r="R62" s="18" t="s">
        <v>10</v>
      </c>
      <c r="S62" s="11" t="s">
        <v>33</v>
      </c>
    </row>
    <row r="63" spans="1:23">
      <c r="A63" s="1"/>
      <c r="B63" s="51"/>
      <c r="C63" s="51"/>
      <c r="D63" s="51"/>
      <c r="E63" s="51"/>
      <c r="F63" s="51"/>
      <c r="G63" s="51"/>
      <c r="H63" s="51"/>
      <c r="I63" s="51"/>
      <c r="K63" s="11"/>
      <c r="L63" s="11"/>
      <c r="N63" s="10"/>
      <c r="O63" s="15" t="str">
        <f>C73</f>
        <v>under 25</v>
      </c>
      <c r="P63" s="15" t="str">
        <f>D73</f>
        <v>over 60</v>
      </c>
      <c r="T63" s="2" t="s">
        <v>42</v>
      </c>
      <c r="U63" s="8" t="str">
        <f>IF(NOT(ISERROR(FIND("!=",N71))),"Two",IF(NOT(ISERROR(FIND("&lt;",N71))),"Left","Right"))</f>
        <v>Right</v>
      </c>
      <c r="V63" s="8"/>
    </row>
    <row r="64" spans="1:23">
      <c r="A64" s="1"/>
      <c r="B64" s="51"/>
      <c r="C64" s="51"/>
      <c r="D64" s="51"/>
      <c r="E64" s="51"/>
      <c r="F64" s="51"/>
      <c r="G64" s="51"/>
      <c r="H64" s="51"/>
      <c r="I64" s="51"/>
      <c r="K64" s="28"/>
      <c r="L64" s="12"/>
      <c r="M64" s="12"/>
      <c r="N64" s="13" t="s">
        <v>12</v>
      </c>
      <c r="O64" s="15">
        <f>COUNT(C74:C84)</f>
        <v>8</v>
      </c>
      <c r="P64" s="15">
        <f>COUNT(D74:D84)</f>
        <v>11</v>
      </c>
      <c r="U64" t="str">
        <f>O63</f>
        <v>under 25</v>
      </c>
      <c r="V64" t="str">
        <f>P63</f>
        <v>over 60</v>
      </c>
    </row>
    <row r="65" spans="1:23">
      <c r="A65" s="1"/>
      <c r="B65" s="51"/>
      <c r="C65" s="51"/>
      <c r="D65" s="51"/>
      <c r="E65" s="51"/>
      <c r="F65" s="51"/>
      <c r="G65" s="51"/>
      <c r="H65" s="51"/>
      <c r="I65" s="51"/>
      <c r="K65" s="28"/>
      <c r="L65" s="12"/>
      <c r="M65" s="12"/>
      <c r="N65" s="13" t="s">
        <v>13</v>
      </c>
      <c r="O65" s="45">
        <f>AVERAGE(C74:C84)</f>
        <v>10.375</v>
      </c>
      <c r="P65" s="45">
        <f>AVERAGE(D74:D84)</f>
        <v>5.6363636363636367</v>
      </c>
      <c r="T65" s="2" t="s">
        <v>67</v>
      </c>
      <c r="U65" s="8">
        <f>O66^2/O64</f>
        <v>0.64062500000000011</v>
      </c>
      <c r="V65" s="8">
        <f>P66^2/P64</f>
        <v>0.55041322314049601</v>
      </c>
    </row>
    <row r="66" spans="1:23">
      <c r="A66" s="1"/>
      <c r="B66" s="51"/>
      <c r="C66" s="51"/>
      <c r="D66" s="51"/>
      <c r="E66" s="51"/>
      <c r="F66" s="51"/>
      <c r="G66" s="51"/>
      <c r="H66" s="51"/>
      <c r="I66" s="51"/>
      <c r="K66" s="28"/>
      <c r="L66" s="12"/>
      <c r="M66" s="12"/>
      <c r="N66" s="13" t="s">
        <v>66</v>
      </c>
      <c r="O66" s="45">
        <f>_xlfn.STDEV.S(C74:C84)</f>
        <v>2.2638462845343543</v>
      </c>
      <c r="P66" s="45">
        <f>_xlfn.STDEV.S(D74:D84)</f>
        <v>2.4605985967941737</v>
      </c>
      <c r="T66" s="2" t="s">
        <v>68</v>
      </c>
      <c r="U66" s="8">
        <f>U65^2</f>
        <v>0.41040039062500017</v>
      </c>
      <c r="V66" s="8">
        <f>V65^2</f>
        <v>0.30295471620790948</v>
      </c>
      <c r="W66" s="23"/>
    </row>
    <row r="67" spans="1:23">
      <c r="A67" s="1"/>
      <c r="B67" s="51"/>
      <c r="C67" s="51"/>
      <c r="D67" s="51"/>
      <c r="E67" s="51"/>
      <c r="F67" s="51"/>
      <c r="G67" s="51"/>
      <c r="H67" s="51"/>
      <c r="I67" s="51"/>
      <c r="K67" s="28"/>
      <c r="L67" s="12"/>
      <c r="M67" s="12"/>
      <c r="N67" s="13" t="s">
        <v>57</v>
      </c>
      <c r="O67" s="15">
        <v>0.01</v>
      </c>
      <c r="P67" s="29">
        <f>O67</f>
        <v>0.01</v>
      </c>
      <c r="T67" s="2" t="s">
        <v>69</v>
      </c>
      <c r="U67" s="8">
        <f>O64-1</f>
        <v>7</v>
      </c>
      <c r="V67" s="8">
        <f>P64-1</f>
        <v>10</v>
      </c>
      <c r="W67" s="23"/>
    </row>
    <row r="68" spans="1:23">
      <c r="A68" s="1"/>
      <c r="B68" s="51"/>
      <c r="C68" s="51"/>
      <c r="D68" s="51"/>
      <c r="E68" s="51"/>
      <c r="F68" s="51"/>
      <c r="G68" s="51"/>
      <c r="H68" s="51"/>
      <c r="I68" s="51"/>
      <c r="K68" s="9"/>
      <c r="L68" s="9"/>
      <c r="M68" s="9"/>
      <c r="N68" s="9"/>
      <c r="O68" s="9"/>
      <c r="P68" s="9"/>
      <c r="T68" s="2" t="s">
        <v>2</v>
      </c>
      <c r="U68" s="8">
        <f>_xlfn.FLOOR.MATH((U65+V65)^2/((U66/U67)+(V66/V67)))</f>
        <v>15</v>
      </c>
      <c r="V68" s="8"/>
      <c r="W68" s="9"/>
    </row>
    <row r="69" spans="1:23">
      <c r="A69" s="1"/>
      <c r="B69" s="51"/>
      <c r="C69" s="51"/>
      <c r="D69" s="51"/>
      <c r="E69" s="51"/>
      <c r="F69" s="51"/>
      <c r="G69" s="51"/>
      <c r="H69" s="51"/>
      <c r="I69" s="51"/>
      <c r="K69" s="18" t="s">
        <v>7</v>
      </c>
      <c r="L69" s="11" t="s">
        <v>27</v>
      </c>
      <c r="O69" s="9"/>
      <c r="P69" s="9"/>
      <c r="T69" s="2" t="s">
        <v>41</v>
      </c>
      <c r="U69" s="8" t="str">
        <f>IF(U63="Two",P75/2,IF(U63="Left",P75,""))</f>
        <v/>
      </c>
      <c r="V69" s="8" t="str">
        <f>IF(P82="z-value",IFERROR(ROUND(_xlfn.NORM.S.INV(U69),3),""),IFERROR(ROUND(_xlfn.T.INV(U69,U68),3),""))</f>
        <v/>
      </c>
    </row>
    <row r="70" spans="1:23">
      <c r="A70" s="1"/>
      <c r="B70" s="51"/>
      <c r="C70" s="51"/>
      <c r="D70" s="51"/>
      <c r="E70" s="51"/>
      <c r="F70" s="51"/>
      <c r="G70" s="51"/>
      <c r="H70" s="51"/>
      <c r="I70" s="51"/>
      <c r="K70" s="9"/>
      <c r="L70" s="9"/>
      <c r="M70" s="25" t="s">
        <v>15</v>
      </c>
      <c r="N70" s="26" t="str">
        <f>"xbar"&amp;O63&amp;" &lt;= "&amp;"xbar"&amp;P63</f>
        <v>xbarunder 25 &lt;= xbarover 60</v>
      </c>
      <c r="O70" s="12"/>
      <c r="P70" s="3"/>
      <c r="T70" s="2" t="s">
        <v>43</v>
      </c>
      <c r="U70" s="8">
        <f>IF(U63="Two",1-P75/2,IF(U63="Left","",1-P75))</f>
        <v>0.99</v>
      </c>
      <c r="V70" s="8">
        <f>IF(P82="z-value",IFERROR(ROUND(_xlfn.NORM.S.INV(U70),3),""),IFERROR(ROUND(_xlfn.T.INV(U70,U68),3),""))</f>
        <v>2.6019999999999999</v>
      </c>
    </row>
    <row r="71" spans="1:23">
      <c r="A71" s="1"/>
      <c r="B71" s="51"/>
      <c r="C71" s="51"/>
      <c r="D71" s="51"/>
      <c r="E71" s="51"/>
      <c r="F71" s="51"/>
      <c r="G71" s="51"/>
      <c r="H71" s="51"/>
      <c r="I71" s="51"/>
      <c r="K71" s="11"/>
      <c r="L71" s="9"/>
      <c r="M71" s="25" t="s">
        <v>16</v>
      </c>
      <c r="N71" s="26" t="str">
        <f>"xbar"&amp;O63&amp;" &gt; "&amp;"xbar"&amp;P63</f>
        <v>xbarunder 25 &gt; xbarover 60</v>
      </c>
      <c r="O71" s="12"/>
      <c r="P71" s="3"/>
      <c r="U71" s="5" t="s">
        <v>39</v>
      </c>
      <c r="V71" s="6" t="str">
        <f>IF(U63="Left",P82&amp;" &lt; "&amp;V69,IF(U63="Right",P82&amp;" &gt; "&amp;V70,P82&amp;" &lt; "&amp;V69&amp;" OR "&amp;P82&amp;" &gt; "&amp;V70))</f>
        <v>t-value &gt; 2.602</v>
      </c>
    </row>
    <row r="72" spans="1:23">
      <c r="A72" s="1"/>
      <c r="B72" s="16"/>
      <c r="C72" s="16"/>
      <c r="D72" s="16"/>
      <c r="E72" s="16"/>
      <c r="F72" s="16"/>
      <c r="G72" s="16"/>
      <c r="H72" s="16"/>
      <c r="I72" s="16"/>
      <c r="L72" s="52" t="s">
        <v>127</v>
      </c>
      <c r="M72" s="52"/>
      <c r="N72" s="52"/>
      <c r="O72" s="52"/>
      <c r="P72" s="52"/>
    </row>
    <row r="73" spans="1:23">
      <c r="A73" s="1"/>
      <c r="B73" s="16"/>
      <c r="C73" s="47" t="s">
        <v>124</v>
      </c>
      <c r="D73" s="47" t="s">
        <v>125</v>
      </c>
      <c r="E73" s="16"/>
      <c r="F73" s="16"/>
      <c r="G73" s="16"/>
      <c r="H73" s="16"/>
      <c r="I73" s="16"/>
      <c r="R73" s="18" t="s">
        <v>46</v>
      </c>
      <c r="S73" s="11" t="s">
        <v>45</v>
      </c>
      <c r="T73" s="9"/>
      <c r="U73" s="9"/>
      <c r="V73" s="9"/>
    </row>
    <row r="74" spans="1:23">
      <c r="A74" s="1"/>
      <c r="B74" s="16"/>
      <c r="C74" s="47">
        <v>10</v>
      </c>
      <c r="D74" s="47">
        <v>4</v>
      </c>
      <c r="E74" s="16"/>
      <c r="F74" s="16"/>
      <c r="G74" s="16"/>
      <c r="H74" s="16"/>
      <c r="I74" s="16"/>
      <c r="K74" s="18" t="s">
        <v>8</v>
      </c>
      <c r="L74" s="11" t="s">
        <v>28</v>
      </c>
      <c r="M74" s="9"/>
      <c r="N74" s="9"/>
      <c r="O74" s="9"/>
      <c r="P74" s="9"/>
      <c r="R74" s="11"/>
      <c r="S74" s="9"/>
      <c r="T74" s="2" t="s">
        <v>36</v>
      </c>
      <c r="U74" s="32">
        <f>O65-P65</f>
        <v>4.7386363636363633</v>
      </c>
    </row>
    <row r="75" spans="1:23">
      <c r="B75" s="16"/>
      <c r="C75" s="47">
        <v>10</v>
      </c>
      <c r="D75" s="47">
        <v>8</v>
      </c>
      <c r="E75" s="16"/>
      <c r="F75" s="16"/>
      <c r="G75" s="16"/>
      <c r="H75" s="16"/>
      <c r="I75" s="16"/>
      <c r="K75" s="9"/>
      <c r="L75" s="9"/>
      <c r="O75" s="20" t="s">
        <v>3</v>
      </c>
      <c r="P75" s="24">
        <f>O67</f>
        <v>0.01</v>
      </c>
      <c r="R75" s="9"/>
      <c r="S75" s="9"/>
      <c r="T75" s="2"/>
      <c r="U75" s="1" t="str">
        <f>O63</f>
        <v>under 25</v>
      </c>
      <c r="V75" s="1" t="str">
        <f>P63</f>
        <v>over 60</v>
      </c>
    </row>
    <row r="76" spans="1:23">
      <c r="B76" s="16"/>
      <c r="C76" s="47">
        <v>11</v>
      </c>
      <c r="D76" s="47">
        <v>7</v>
      </c>
      <c r="E76" s="16"/>
      <c r="F76" s="16"/>
      <c r="G76" s="16"/>
      <c r="H76" s="16"/>
      <c r="I76" s="16"/>
      <c r="K76" s="19"/>
      <c r="L76" s="9"/>
      <c r="M76" s="9"/>
      <c r="N76" s="9"/>
      <c r="O76" s="9"/>
      <c r="P76" s="9"/>
      <c r="R76" s="9"/>
      <c r="S76" s="9"/>
      <c r="T76" s="2" t="s">
        <v>67</v>
      </c>
      <c r="U76" s="8">
        <f>O66^2/O64</f>
        <v>0.64062500000000011</v>
      </c>
      <c r="V76" s="8">
        <f>P66^2/P64</f>
        <v>0.55041322314049601</v>
      </c>
    </row>
    <row r="77" spans="1:23">
      <c r="B77" s="1"/>
      <c r="C77" s="47">
        <v>15</v>
      </c>
      <c r="D77" s="47">
        <v>7</v>
      </c>
      <c r="K77" s="18" t="s">
        <v>9</v>
      </c>
      <c r="L77" s="11" t="s">
        <v>34</v>
      </c>
      <c r="M77" s="9"/>
      <c r="N77" s="9"/>
      <c r="O77" s="9"/>
      <c r="P77" s="9"/>
      <c r="R77" s="9"/>
      <c r="S77" s="9"/>
      <c r="T77" s="2" t="str">
        <f>"Test statistic: "&amp;P82</f>
        <v>Test statistic: t-value</v>
      </c>
      <c r="U77" s="8">
        <f>ROUND(U74/SQRT((U76+V76)),3)</f>
        <v>4.3419999999999996</v>
      </c>
      <c r="V77" s="8"/>
    </row>
    <row r="78" spans="1:23">
      <c r="C78" s="47">
        <v>7</v>
      </c>
      <c r="D78" s="47">
        <v>4</v>
      </c>
      <c r="F78" s="1"/>
      <c r="M78" s="21"/>
      <c r="O78" s="22" t="s">
        <v>38</v>
      </c>
      <c r="P78" s="21" t="b">
        <f>AND(O66&lt;&gt;"",P66&lt;&gt;"")</f>
        <v>1</v>
      </c>
      <c r="U78" t="str">
        <f>SUBSTITUTE(V71,P82,U77)</f>
        <v>4.342 &gt; 2.602</v>
      </c>
    </row>
    <row r="79" spans="1:23">
      <c r="C79" s="47">
        <v>11</v>
      </c>
      <c r="D79" s="47">
        <v>5</v>
      </c>
      <c r="K79" s="11"/>
      <c r="M79" s="21"/>
      <c r="O79" s="22" t="s">
        <v>62</v>
      </c>
      <c r="P79" s="14" t="b">
        <f>O66=P66</f>
        <v>0</v>
      </c>
      <c r="T79" s="8"/>
      <c r="U79" s="3" t="b">
        <v>1</v>
      </c>
    </row>
    <row r="80" spans="1:23">
      <c r="C80" s="47">
        <v>10</v>
      </c>
      <c r="D80" s="47">
        <v>1</v>
      </c>
      <c r="E80" s="2"/>
      <c r="F80" s="33"/>
      <c r="G80" s="33"/>
      <c r="O80" s="22" t="s">
        <v>32</v>
      </c>
      <c r="P80" s="21" t="b">
        <v>1</v>
      </c>
      <c r="S80" s="11" t="str">
        <f>IF(U79,"Reject H0", "Fail to Reject H0")</f>
        <v>Reject H0</v>
      </c>
    </row>
    <row r="81" spans="3:23">
      <c r="C81" s="47">
        <v>9</v>
      </c>
      <c r="D81" s="47">
        <v>7</v>
      </c>
      <c r="E81" s="2"/>
      <c r="F81" s="33"/>
      <c r="G81" s="33"/>
    </row>
    <row r="82" spans="3:23">
      <c r="C82" s="48"/>
      <c r="D82" s="47">
        <v>4</v>
      </c>
      <c r="O82" s="5" t="s">
        <v>35</v>
      </c>
      <c r="P82" s="17" t="str">
        <f>IF(AND(P78,P80,P79),"z-value","t-value")</f>
        <v>t-value</v>
      </c>
      <c r="R82" s="18" t="s">
        <v>47</v>
      </c>
      <c r="S82" s="1" t="s">
        <v>48</v>
      </c>
    </row>
    <row r="83" spans="3:23">
      <c r="C83" s="48"/>
      <c r="D83" s="47">
        <v>10</v>
      </c>
      <c r="S83" t="s">
        <v>1</v>
      </c>
      <c r="T83">
        <f>ROUND(IF(U63="Right",_xlfn.T.DIST.RT(ABS(U77),U68),IF(U63="Left",1-_xlfn.T.DIST(ABS(U77),U68,TRUE),_xlfn.T.DIST.2T(ABS(U77),U68))),4)</f>
        <v>2.9999999999999997E-4</v>
      </c>
    </row>
    <row r="84" spans="3:23">
      <c r="C84" s="2"/>
      <c r="D84" s="47">
        <v>5</v>
      </c>
      <c r="S84" s="11" t="str">
        <f>IF(T83&lt;P75,"Reject H0", "Fail to Reject H0")</f>
        <v>Reject H0</v>
      </c>
    </row>
    <row r="85" spans="3:23">
      <c r="S85" s="54" t="str">
        <f>"We can"&amp;IF(U79,"","not")&amp;" conclude that "&amp;L72&amp;"."</f>
        <v>We can conclude that younger customers use the ATMs more.</v>
      </c>
      <c r="T85" s="54"/>
      <c r="U85" s="54"/>
      <c r="V85" s="54"/>
      <c r="W85" s="54"/>
    </row>
    <row r="86" spans="3:23">
      <c r="S86" s="54"/>
      <c r="T86" s="54"/>
      <c r="U86" s="54"/>
      <c r="V86" s="54"/>
      <c r="W86" s="54"/>
    </row>
    <row r="87" spans="3:23">
      <c r="S87" s="54"/>
      <c r="T87" s="54"/>
      <c r="U87" s="54"/>
      <c r="V87" s="54"/>
      <c r="W87" s="54"/>
    </row>
    <row r="88" spans="3:23">
      <c r="S88" s="54"/>
      <c r="T88" s="54"/>
      <c r="U88" s="54"/>
      <c r="V88" s="54"/>
      <c r="W88" s="54"/>
    </row>
  </sheetData>
  <mergeCells count="9">
    <mergeCell ref="B2:I17"/>
    <mergeCell ref="L13:P13"/>
    <mergeCell ref="S26:W29"/>
    <mergeCell ref="L72:P72"/>
    <mergeCell ref="S85:W88"/>
    <mergeCell ref="L42:P42"/>
    <mergeCell ref="S55:W58"/>
    <mergeCell ref="B31:I41"/>
    <mergeCell ref="B61:I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5DE7-0BD4-4C99-9735-9D800F3B91EF}">
  <dimension ref="A1:W126"/>
  <sheetViews>
    <sheetView workbookViewId="0"/>
  </sheetViews>
  <sheetFormatPr defaultRowHeight="12"/>
  <cols>
    <col min="3" max="3" width="13.28515625" customWidth="1"/>
    <col min="6" max="6" width="15.140625" customWidth="1"/>
    <col min="7" max="7" width="10.28515625" customWidth="1"/>
    <col min="8" max="8" width="12.28515625" customWidth="1"/>
    <col min="11" max="11" width="6.7109375" customWidth="1"/>
    <col min="14" max="16" width="9.28515625" customWidth="1"/>
    <col min="18" max="18" width="6.7109375" customWidth="1"/>
  </cols>
  <sheetData>
    <row r="1" spans="1:23">
      <c r="A1" s="1" t="s">
        <v>4</v>
      </c>
      <c r="K1" s="1" t="s">
        <v>5</v>
      </c>
    </row>
    <row r="2" spans="1:23" ht="12" customHeight="1">
      <c r="A2" s="1" t="s">
        <v>73</v>
      </c>
      <c r="B2" s="51" t="s">
        <v>74</v>
      </c>
      <c r="C2" s="51"/>
      <c r="D2" s="51"/>
      <c r="E2" s="51"/>
      <c r="F2" s="51"/>
      <c r="G2" s="51"/>
      <c r="H2" s="51"/>
      <c r="I2" s="51"/>
      <c r="K2" s="1" t="s">
        <v>91</v>
      </c>
    </row>
    <row r="3" spans="1:23">
      <c r="A3" s="1"/>
      <c r="B3" s="51"/>
      <c r="C3" s="51"/>
      <c r="D3" s="51"/>
      <c r="E3" s="51"/>
      <c r="F3" s="51"/>
      <c r="G3" s="51"/>
      <c r="H3" s="51"/>
      <c r="I3" s="51"/>
      <c r="K3" s="18" t="s">
        <v>25</v>
      </c>
      <c r="L3" s="11" t="s">
        <v>26</v>
      </c>
      <c r="M3" s="10"/>
      <c r="N3" s="9"/>
      <c r="O3" s="9"/>
      <c r="P3" s="9"/>
      <c r="R3" s="18" t="s">
        <v>10</v>
      </c>
      <c r="S3" s="11" t="s">
        <v>33</v>
      </c>
    </row>
    <row r="4" spans="1:23">
      <c r="A4" s="1"/>
      <c r="B4" s="51"/>
      <c r="C4" s="51"/>
      <c r="D4" s="51"/>
      <c r="E4" s="51"/>
      <c r="F4" s="51"/>
      <c r="G4" s="51"/>
      <c r="H4" s="51"/>
      <c r="I4" s="51"/>
      <c r="K4" s="11"/>
      <c r="L4" s="11"/>
      <c r="N4" s="10"/>
      <c r="O4" s="15" t="s">
        <v>76</v>
      </c>
      <c r="P4" s="15" t="s">
        <v>77</v>
      </c>
      <c r="T4" s="2" t="s">
        <v>42</v>
      </c>
      <c r="U4" s="8" t="str">
        <f>IF(NOT(ISERROR(FIND("!=",N12))),"Two",IF(NOT(ISERROR(FIND("&lt;",N12))),"Left","Right"))</f>
        <v>Left</v>
      </c>
      <c r="V4" s="8"/>
    </row>
    <row r="5" spans="1:23">
      <c r="A5" s="1"/>
      <c r="B5" s="51"/>
      <c r="C5" s="51"/>
      <c r="D5" s="51"/>
      <c r="E5" s="51"/>
      <c r="F5" s="51"/>
      <c r="G5" s="51"/>
      <c r="H5" s="51"/>
      <c r="I5" s="51"/>
      <c r="K5" s="28"/>
      <c r="L5" s="12"/>
      <c r="M5" s="12"/>
      <c r="N5" s="13" t="s">
        <v>12</v>
      </c>
      <c r="O5" s="15">
        <f>COUNT(D33:D44)</f>
        <v>12</v>
      </c>
      <c r="P5" s="15">
        <f>COUNT(E33:E44)</f>
        <v>12</v>
      </c>
      <c r="U5" t="str">
        <f>O4</f>
        <v>Before</v>
      </c>
      <c r="V5" t="str">
        <f>P4</f>
        <v>After</v>
      </c>
    </row>
    <row r="6" spans="1:23">
      <c r="A6" s="1"/>
      <c r="B6" s="51"/>
      <c r="C6" s="51"/>
      <c r="D6" s="51"/>
      <c r="E6" s="51"/>
      <c r="F6" s="51"/>
      <c r="G6" s="51"/>
      <c r="H6" s="51"/>
      <c r="I6" s="51"/>
      <c r="K6" s="28"/>
      <c r="L6" s="12"/>
      <c r="M6" s="12"/>
      <c r="N6" s="13" t="s">
        <v>107</v>
      </c>
      <c r="O6" s="34">
        <f>AVERAGE(D33:D44)</f>
        <v>428.33333333333331</v>
      </c>
      <c r="P6" s="34">
        <f>AVERAGE(E33:E44)</f>
        <v>454.25</v>
      </c>
      <c r="T6" s="2" t="s">
        <v>67</v>
      </c>
      <c r="U6" s="8">
        <f>O7^2/O5</f>
        <v>1201.2020202020187</v>
      </c>
      <c r="V6" s="8">
        <f>P7^2/P5</f>
        <v>1439.8958333333333</v>
      </c>
    </row>
    <row r="7" spans="1:23">
      <c r="A7" s="1"/>
      <c r="B7" s="51"/>
      <c r="C7" s="51"/>
      <c r="D7" s="51"/>
      <c r="E7" s="51"/>
      <c r="F7" s="51"/>
      <c r="G7" s="51"/>
      <c r="H7" s="51"/>
      <c r="I7" s="51"/>
      <c r="K7" s="28"/>
      <c r="L7" s="12"/>
      <c r="M7" s="12"/>
      <c r="N7" s="13" t="s">
        <v>66</v>
      </c>
      <c r="O7" s="34">
        <f>_xlfn.STDEV.S(D33:D44)</f>
        <v>120.06008596708661</v>
      </c>
      <c r="P7" s="34">
        <f>_xlfn.STDEV.S(E33:E44)</f>
        <v>131.44865917916394</v>
      </c>
      <c r="T7" s="2" t="s">
        <v>68</v>
      </c>
      <c r="U7" s="8">
        <f>U6^2</f>
        <v>1442886.293337411</v>
      </c>
      <c r="V7" s="8">
        <f>V6^2</f>
        <v>2073300.0108506943</v>
      </c>
      <c r="W7" s="23"/>
    </row>
    <row r="8" spans="1:23">
      <c r="A8" s="1"/>
      <c r="B8" s="51"/>
      <c r="C8" s="51"/>
      <c r="D8" s="51"/>
      <c r="E8" s="51"/>
      <c r="F8" s="51"/>
      <c r="G8" s="51"/>
      <c r="H8" s="51"/>
      <c r="I8" s="51"/>
      <c r="K8" s="28"/>
      <c r="L8" s="12"/>
      <c r="M8" s="12"/>
      <c r="N8" s="13" t="s">
        <v>57</v>
      </c>
      <c r="O8" s="15">
        <v>0.05</v>
      </c>
      <c r="P8" s="29">
        <f>O8</f>
        <v>0.05</v>
      </c>
      <c r="T8" s="2" t="s">
        <v>2</v>
      </c>
      <c r="U8" s="8">
        <f>O5-1</f>
        <v>11</v>
      </c>
      <c r="V8" s="8"/>
      <c r="W8" s="23"/>
    </row>
    <row r="9" spans="1:23">
      <c r="A9" s="1"/>
      <c r="B9" s="51"/>
      <c r="C9" s="51"/>
      <c r="D9" s="51"/>
      <c r="E9" s="51"/>
      <c r="F9" s="51"/>
      <c r="G9" s="51"/>
      <c r="H9" s="51"/>
      <c r="I9" s="51"/>
      <c r="K9" s="9"/>
      <c r="L9" s="9"/>
      <c r="M9" s="9"/>
      <c r="N9" s="9"/>
      <c r="O9" s="9"/>
      <c r="P9" s="9"/>
      <c r="T9" s="2" t="s">
        <v>41</v>
      </c>
      <c r="U9" s="8">
        <f>IF(U4="Two",P16/2,IF(U4="Left",P16,""))</f>
        <v>0.05</v>
      </c>
      <c r="V9" s="8">
        <f>IF(P23="z-value",IFERROR(ROUND(_xlfn.NORM.S.INV(U9),3),""),IFERROR(ROUND(_xlfn.T.INV(U9,U8),3),""))</f>
        <v>-1.796</v>
      </c>
      <c r="W9" s="9"/>
    </row>
    <row r="10" spans="1:23">
      <c r="A10" s="1"/>
      <c r="B10" s="51"/>
      <c r="C10" s="51"/>
      <c r="D10" s="51"/>
      <c r="E10" s="51"/>
      <c r="F10" s="51"/>
      <c r="G10" s="51"/>
      <c r="H10" s="51"/>
      <c r="I10" s="51"/>
      <c r="K10" s="18" t="s">
        <v>7</v>
      </c>
      <c r="L10" s="11" t="s">
        <v>27</v>
      </c>
      <c r="O10" s="9"/>
      <c r="P10" s="9"/>
      <c r="T10" s="2" t="s">
        <v>43</v>
      </c>
      <c r="U10" s="8" t="str">
        <f>IF(U4="Two",1-P16/2,IF(U4="Left","",1-P16))</f>
        <v/>
      </c>
      <c r="V10" s="8" t="str">
        <f>IF(P23="z-value",IFERROR(ROUND(_xlfn.NORM.S.INV(U10),3),""),IFERROR(ROUND(_xlfn.T.INV(U10,U8),3),""))</f>
        <v/>
      </c>
    </row>
    <row r="11" spans="1:23">
      <c r="A11" s="1"/>
      <c r="B11" s="51"/>
      <c r="C11" s="51"/>
      <c r="D11" s="51"/>
      <c r="E11" s="51"/>
      <c r="F11" s="51"/>
      <c r="G11" s="51"/>
      <c r="H11" s="51"/>
      <c r="I11" s="51"/>
      <c r="K11" s="9"/>
      <c r="L11" s="38"/>
      <c r="M11" s="39" t="s">
        <v>15</v>
      </c>
      <c r="N11" s="40" t="s">
        <v>98</v>
      </c>
      <c r="O11" s="41"/>
      <c r="P11" s="42"/>
      <c r="U11" s="5" t="s">
        <v>39</v>
      </c>
      <c r="V11" s="6" t="str">
        <f>IF(U4="Left",P23&amp;" &lt; "&amp;V9,IF(U4="Right",P23&amp;" &gt; "&amp;V10,P23&amp;" &lt; "&amp;V9&amp;" OR "&amp;P23&amp;" &gt; "&amp;V10))</f>
        <v>t-value &lt; -1.796</v>
      </c>
    </row>
    <row r="12" spans="1:23">
      <c r="A12" s="1"/>
      <c r="B12" s="51"/>
      <c r="C12" s="51"/>
      <c r="D12" s="51"/>
      <c r="E12" s="51"/>
      <c r="F12" s="51"/>
      <c r="G12" s="51"/>
      <c r="H12" s="51"/>
      <c r="I12" s="51"/>
      <c r="K12" s="11"/>
      <c r="L12" s="38"/>
      <c r="M12" s="39" t="s">
        <v>16</v>
      </c>
      <c r="N12" s="40" t="s">
        <v>96</v>
      </c>
      <c r="O12" s="41"/>
      <c r="P12" s="42"/>
    </row>
    <row r="13" spans="1:23">
      <c r="A13" s="1"/>
      <c r="B13" s="51"/>
      <c r="C13" s="51"/>
      <c r="D13" s="51"/>
      <c r="E13" s="51"/>
      <c r="F13" s="51"/>
      <c r="G13" s="51"/>
      <c r="H13" s="51"/>
      <c r="I13" s="51"/>
      <c r="L13" s="55" t="s">
        <v>90</v>
      </c>
      <c r="M13" s="55"/>
      <c r="N13" s="55"/>
      <c r="O13" s="55"/>
      <c r="P13" s="55"/>
    </row>
    <row r="14" spans="1:23">
      <c r="A14" s="1"/>
      <c r="B14" s="51"/>
      <c r="C14" s="51"/>
      <c r="D14" s="51"/>
      <c r="E14" s="51"/>
      <c r="F14" s="51"/>
      <c r="G14" s="51"/>
      <c r="H14" s="51"/>
      <c r="I14" s="51"/>
      <c r="R14" s="18" t="s">
        <v>46</v>
      </c>
      <c r="S14" s="11" t="s">
        <v>45</v>
      </c>
      <c r="T14" s="9"/>
      <c r="U14" s="9"/>
      <c r="V14" s="9"/>
    </row>
    <row r="15" spans="1:23">
      <c r="A15" s="1"/>
      <c r="B15" s="51"/>
      <c r="C15" s="51"/>
      <c r="D15" s="51"/>
      <c r="E15" s="51"/>
      <c r="F15" s="51"/>
      <c r="G15" s="51"/>
      <c r="H15" s="51"/>
      <c r="I15" s="51"/>
      <c r="K15" s="18" t="s">
        <v>8</v>
      </c>
      <c r="L15" s="11" t="s">
        <v>28</v>
      </c>
      <c r="M15" s="9"/>
      <c r="N15" s="9"/>
      <c r="O15" s="9"/>
      <c r="P15" s="9"/>
      <c r="R15" s="11"/>
      <c r="S15" s="9"/>
      <c r="T15" s="2" t="s">
        <v>36</v>
      </c>
      <c r="U15" s="32">
        <f>O6-P6</f>
        <v>-25.916666666666686</v>
      </c>
    </row>
    <row r="16" spans="1:23">
      <c r="B16" s="51"/>
      <c r="C16" s="51"/>
      <c r="D16" s="51"/>
      <c r="E16" s="51"/>
      <c r="F16" s="51"/>
      <c r="G16" s="51"/>
      <c r="H16" s="51"/>
      <c r="I16" s="51"/>
      <c r="K16" s="9"/>
      <c r="L16" s="9"/>
      <c r="O16" s="20" t="s">
        <v>3</v>
      </c>
      <c r="P16" s="24">
        <f>O8</f>
        <v>0.05</v>
      </c>
      <c r="R16" s="9"/>
      <c r="S16" s="9"/>
      <c r="T16" s="2"/>
      <c r="U16" s="1" t="str">
        <f>O4</f>
        <v>Before</v>
      </c>
      <c r="V16" s="1" t="str">
        <f>P4</f>
        <v>After</v>
      </c>
    </row>
    <row r="17" spans="2:23" ht="12" customHeight="1">
      <c r="B17" s="51"/>
      <c r="C17" s="51"/>
      <c r="D17" s="51"/>
      <c r="E17" s="51"/>
      <c r="F17" s="51"/>
      <c r="G17" s="51"/>
      <c r="H17" s="51"/>
      <c r="I17" s="51"/>
      <c r="K17" s="19"/>
      <c r="L17" s="9"/>
      <c r="M17" s="9"/>
      <c r="N17" s="9"/>
      <c r="O17" s="9"/>
      <c r="P17" s="9"/>
      <c r="R17" s="9"/>
      <c r="S17" s="9"/>
      <c r="T17" s="2" t="s">
        <v>67</v>
      </c>
      <c r="U17" s="8">
        <f>O7^2/O5</f>
        <v>1201.2020202020187</v>
      </c>
      <c r="V17" s="8">
        <f>P7^2/P5</f>
        <v>1439.8958333333333</v>
      </c>
    </row>
    <row r="18" spans="2:23">
      <c r="B18" s="1"/>
      <c r="C18" s="31"/>
      <c r="D18" s="31"/>
      <c r="K18" s="18" t="s">
        <v>9</v>
      </c>
      <c r="L18" s="11" t="s">
        <v>34</v>
      </c>
      <c r="M18" s="9"/>
      <c r="N18" s="9"/>
      <c r="O18" s="9"/>
      <c r="P18" s="9"/>
      <c r="R18" s="9"/>
      <c r="S18" s="9"/>
      <c r="T18" s="2" t="str">
        <f>"Test statistic: "&amp;P23</f>
        <v>Test statistic: t-value</v>
      </c>
      <c r="U18" s="8">
        <f>F19/(F20/SQRT(O5))</f>
        <v>-2.2009286177293688</v>
      </c>
      <c r="V18" s="8"/>
    </row>
    <row r="19" spans="2:23">
      <c r="E19" s="5" t="s">
        <v>99</v>
      </c>
      <c r="F19" s="44">
        <f>SUM(Table1[Difference (d) *])/COUNT(Table1[Difference (d) *])</f>
        <v>-25.916666666666668</v>
      </c>
      <c r="M19" s="21"/>
      <c r="O19" s="22" t="s">
        <v>38</v>
      </c>
      <c r="P19" s="21" t="b">
        <f>AND(O7&lt;&gt;"",P7&lt;&gt;"")</f>
        <v>1</v>
      </c>
      <c r="U19" t="str">
        <f>SUBSTITUTE(V11,P23,ROUND(U18,3))</f>
        <v>-2.201 &lt; -1.796</v>
      </c>
    </row>
    <row r="20" spans="2:23">
      <c r="E20" s="5" t="s">
        <v>97</v>
      </c>
      <c r="F20" s="44">
        <f>SQRT(H31/U8)</f>
        <v>40.790948936639303</v>
      </c>
      <c r="G20" s="16"/>
      <c r="H20" s="16"/>
      <c r="K20" s="11"/>
      <c r="M20" s="21"/>
      <c r="O20" s="22" t="s">
        <v>62</v>
      </c>
      <c r="P20" s="14" t="b">
        <f>O7=P7</f>
        <v>0</v>
      </c>
      <c r="T20" s="8"/>
      <c r="U20" s="3" t="b">
        <v>1</v>
      </c>
    </row>
    <row r="21" spans="2:23">
      <c r="G21" s="16"/>
      <c r="H21" s="16"/>
      <c r="O21" s="22" t="s">
        <v>32</v>
      </c>
      <c r="P21" s="21" t="b">
        <v>1</v>
      </c>
      <c r="S21" s="11" t="str">
        <f>IF(U20,"Reject H0", "Fail to Reject H0")</f>
        <v>Reject H0</v>
      </c>
    </row>
    <row r="23" spans="2:23">
      <c r="D23" s="37" t="s">
        <v>104</v>
      </c>
      <c r="E23" s="37"/>
      <c r="F23" s="37"/>
      <c r="G23" s="37"/>
      <c r="H23" s="37"/>
      <c r="O23" s="5" t="s">
        <v>35</v>
      </c>
      <c r="P23" s="17" t="str">
        <f>IF(AND(P19,P21,P20),"z-value","t-value")</f>
        <v>t-value</v>
      </c>
      <c r="R23" s="18" t="s">
        <v>47</v>
      </c>
      <c r="S23" s="1" t="s">
        <v>48</v>
      </c>
    </row>
    <row r="24" spans="2:23">
      <c r="D24" s="37" t="s">
        <v>106</v>
      </c>
      <c r="E24" s="37"/>
      <c r="F24" s="37"/>
      <c r="G24" s="37"/>
      <c r="H24" s="37"/>
      <c r="S24" t="s">
        <v>1</v>
      </c>
      <c r="T24">
        <f>ROUND(IF(U4="Right",_xlfn.T.DIST.RT(ABS(U18),U8),IF(U4="Left",1-_xlfn.T.DIST(ABS(U18),U8,TRUE),_xlfn.T.DIST.2T(ABS(U18),U8))),4)</f>
        <v>2.5000000000000001E-2</v>
      </c>
    </row>
    <row r="25" spans="2:23">
      <c r="D25" s="37" t="s">
        <v>101</v>
      </c>
      <c r="E25" s="37"/>
      <c r="F25" s="37"/>
      <c r="G25" s="37"/>
      <c r="H25" s="37"/>
      <c r="S25" s="11" t="str">
        <f>IF(T24&lt;P16,"Reject H0", "Fail to Reject H0")</f>
        <v>Reject H0</v>
      </c>
    </row>
    <row r="26" spans="2:23">
      <c r="D26" s="37" t="s">
        <v>100</v>
      </c>
      <c r="E26" s="37"/>
      <c r="F26" s="37"/>
      <c r="G26" s="37"/>
      <c r="H26" s="37"/>
      <c r="S26" s="54" t="str">
        <f>"We can"&amp;IF(T24&lt;P16,"","not")&amp;" conclude that "&amp;L13&amp;"."</f>
        <v>We can conclude that there was a significant increase in the typical salesperson's weekly income.</v>
      </c>
      <c r="T26" s="54"/>
      <c r="U26" s="54"/>
      <c r="V26" s="54"/>
      <c r="W26" s="54"/>
    </row>
    <row r="27" spans="2:23">
      <c r="D27" s="37"/>
      <c r="E27" s="37"/>
      <c r="F27" s="37"/>
      <c r="G27" s="37"/>
      <c r="H27" s="37"/>
      <c r="S27" s="54"/>
      <c r="T27" s="54"/>
      <c r="U27" s="54"/>
      <c r="V27" s="54"/>
      <c r="W27" s="54"/>
    </row>
    <row r="28" spans="2:23">
      <c r="D28" s="37" t="s">
        <v>102</v>
      </c>
      <c r="E28" s="37"/>
      <c r="F28" s="37"/>
      <c r="G28" s="37"/>
      <c r="H28" s="37"/>
      <c r="S28" s="54"/>
      <c r="T28" s="54"/>
      <c r="U28" s="54"/>
      <c r="V28" s="54"/>
      <c r="W28" s="54"/>
    </row>
    <row r="29" spans="2:23">
      <c r="D29" s="37" t="s">
        <v>103</v>
      </c>
      <c r="S29" s="54"/>
      <c r="T29" s="54"/>
      <c r="U29" s="54"/>
      <c r="V29" s="54"/>
      <c r="W29" s="54"/>
    </row>
    <row r="31" spans="2:23">
      <c r="F31" s="16">
        <f>SUM(Table1[Difference (d) *])</f>
        <v>-311</v>
      </c>
      <c r="G31" s="36">
        <f>SUM(Table1[(d - dbar)])</f>
        <v>0</v>
      </c>
      <c r="H31" s="36">
        <f>SUM(Table1[(d - dbar)^2])</f>
        <v>18302.916666666668</v>
      </c>
      <c r="R31" s="9"/>
    </row>
    <row r="32" spans="2:23">
      <c r="B32" s="16"/>
      <c r="C32" s="35" t="s">
        <v>75</v>
      </c>
      <c r="D32" s="35" t="s">
        <v>76</v>
      </c>
      <c r="E32" s="35" t="s">
        <v>77</v>
      </c>
      <c r="F32" s="43" t="s">
        <v>105</v>
      </c>
      <c r="G32" s="1" t="s">
        <v>92</v>
      </c>
      <c r="H32" s="1" t="s">
        <v>93</v>
      </c>
      <c r="I32" s="16"/>
    </row>
    <row r="33" spans="1:19">
      <c r="B33" s="16"/>
      <c r="C33" s="4" t="s">
        <v>78</v>
      </c>
      <c r="D33" s="3">
        <v>320</v>
      </c>
      <c r="E33" s="3">
        <v>340</v>
      </c>
      <c r="F33">
        <f>Table1[[#This Row],[Before]]-Table1[[#This Row],[After]]</f>
        <v>-20</v>
      </c>
      <c r="G33" s="30">
        <f>Table1[[#This Row],[Difference (d) *]]-(SUM(Table1[Difference (d) *])/COUNT(Table1[Difference (d) *]))</f>
        <v>5.9166666666666679</v>
      </c>
      <c r="H33" s="30">
        <f>Table1[[#This Row],[(d - dbar)]]^2</f>
        <v>35.006944444444457</v>
      </c>
      <c r="I33" s="16"/>
    </row>
    <row r="34" spans="1:19">
      <c r="B34" s="16"/>
      <c r="C34" s="4" t="s">
        <v>79</v>
      </c>
      <c r="D34" s="3">
        <v>290</v>
      </c>
      <c r="E34" s="3">
        <v>285</v>
      </c>
      <c r="F34">
        <f>Table1[[#This Row],[Before]]-Table1[[#This Row],[After]]</f>
        <v>5</v>
      </c>
      <c r="G34" s="30">
        <f>Table1[[#This Row],[Difference (d) *]]-(SUM(Table1[Difference (d) *])/COUNT(Table1[Difference (d) *]))</f>
        <v>30.916666666666668</v>
      </c>
      <c r="H34" s="30">
        <f>Table1[[#This Row],[(d - dbar)]]^2</f>
        <v>955.84027777777783</v>
      </c>
      <c r="I34" s="16"/>
    </row>
    <row r="35" spans="1:19">
      <c r="B35" s="16"/>
      <c r="C35" s="4" t="s">
        <v>80</v>
      </c>
      <c r="D35" s="3">
        <v>421</v>
      </c>
      <c r="E35" s="3">
        <v>475</v>
      </c>
      <c r="F35">
        <f>Table1[[#This Row],[Before]]-Table1[[#This Row],[After]]</f>
        <v>-54</v>
      </c>
      <c r="G35" s="30">
        <f>Table1[[#This Row],[Difference (d) *]]-(SUM(Table1[Difference (d) *])/COUNT(Table1[Difference (d) *]))</f>
        <v>-28.083333333333332</v>
      </c>
      <c r="H35" s="30">
        <f>Table1[[#This Row],[(d - dbar)]]^2</f>
        <v>788.67361111111109</v>
      </c>
      <c r="I35" s="16"/>
    </row>
    <row r="36" spans="1:19">
      <c r="C36" s="4" t="s">
        <v>81</v>
      </c>
      <c r="D36" s="3">
        <v>510</v>
      </c>
      <c r="E36" s="3">
        <v>510</v>
      </c>
      <c r="F36">
        <f>Table1[[#This Row],[Before]]-Table1[[#This Row],[After]]</f>
        <v>0</v>
      </c>
      <c r="G36" s="30">
        <f>Table1[[#This Row],[Difference (d) *]]-(SUM(Table1[Difference (d) *])/COUNT(Table1[Difference (d) *]))</f>
        <v>25.916666666666668</v>
      </c>
      <c r="H36" s="30">
        <f>Table1[[#This Row],[(d - dbar)]]^2</f>
        <v>671.6736111111112</v>
      </c>
    </row>
    <row r="37" spans="1:19">
      <c r="C37" s="4" t="s">
        <v>82</v>
      </c>
      <c r="D37" s="3">
        <v>210</v>
      </c>
      <c r="E37" s="3">
        <v>210</v>
      </c>
      <c r="F37">
        <f>Table1[[#This Row],[Before]]-Table1[[#This Row],[After]]</f>
        <v>0</v>
      </c>
      <c r="G37" s="30">
        <f>Table1[[#This Row],[Difference (d) *]]-(SUM(Table1[Difference (d) *])/COUNT(Table1[Difference (d) *]))</f>
        <v>25.916666666666668</v>
      </c>
      <c r="H37" s="30">
        <f>Table1[[#This Row],[(d - dbar)]]^2</f>
        <v>671.6736111111112</v>
      </c>
    </row>
    <row r="38" spans="1:19">
      <c r="C38" s="4" t="s">
        <v>83</v>
      </c>
      <c r="D38" s="3">
        <v>402</v>
      </c>
      <c r="E38" s="3">
        <v>500</v>
      </c>
      <c r="F38">
        <f>Table1[[#This Row],[Before]]-Table1[[#This Row],[After]]</f>
        <v>-98</v>
      </c>
      <c r="G38" s="30">
        <f>Table1[[#This Row],[Difference (d) *]]-(SUM(Table1[Difference (d) *])/COUNT(Table1[Difference (d) *]))</f>
        <v>-72.083333333333329</v>
      </c>
      <c r="H38" s="30">
        <f>Table1[[#This Row],[(d - dbar)]]^2</f>
        <v>5196.0069444444434</v>
      </c>
    </row>
    <row r="39" spans="1:19" ht="12" customHeight="1">
      <c r="C39" s="4" t="s">
        <v>84</v>
      </c>
      <c r="D39" s="3">
        <v>625</v>
      </c>
      <c r="E39" s="3">
        <v>631</v>
      </c>
      <c r="F39">
        <f>Table1[[#This Row],[Before]]-Table1[[#This Row],[After]]</f>
        <v>-6</v>
      </c>
      <c r="G39" s="30">
        <f>Table1[[#This Row],[Difference (d) *]]-(SUM(Table1[Difference (d) *])/COUNT(Table1[Difference (d) *]))</f>
        <v>19.916666666666668</v>
      </c>
      <c r="H39" s="30">
        <f>Table1[[#This Row],[(d - dbar)]]^2</f>
        <v>396.67361111111114</v>
      </c>
    </row>
    <row r="40" spans="1:19" ht="12" customHeight="1">
      <c r="C40" s="4" t="s">
        <v>85</v>
      </c>
      <c r="D40" s="3">
        <v>560</v>
      </c>
      <c r="E40" s="3">
        <v>560</v>
      </c>
      <c r="F40">
        <f>Table1[[#This Row],[Before]]-Table1[[#This Row],[After]]</f>
        <v>0</v>
      </c>
      <c r="G40" s="30">
        <f>Table1[[#This Row],[Difference (d) *]]-(SUM(Table1[Difference (d) *])/COUNT(Table1[Difference (d) *]))</f>
        <v>25.916666666666668</v>
      </c>
      <c r="H40" s="30">
        <f>Table1[[#This Row],[(d - dbar)]]^2</f>
        <v>671.6736111111112</v>
      </c>
    </row>
    <row r="41" spans="1:19">
      <c r="C41" s="4" t="s">
        <v>86</v>
      </c>
      <c r="D41" s="3">
        <v>360</v>
      </c>
      <c r="E41" s="3">
        <v>365</v>
      </c>
      <c r="F41">
        <f>Table1[[#This Row],[Before]]-Table1[[#This Row],[After]]</f>
        <v>-5</v>
      </c>
      <c r="G41" s="30">
        <f>Table1[[#This Row],[Difference (d) *]]-(SUM(Table1[Difference (d) *])/COUNT(Table1[Difference (d) *]))</f>
        <v>20.916666666666668</v>
      </c>
      <c r="H41" s="30">
        <f>Table1[[#This Row],[(d - dbar)]]^2</f>
        <v>437.50694444444451</v>
      </c>
    </row>
    <row r="42" spans="1:19">
      <c r="C42" s="4" t="s">
        <v>87</v>
      </c>
      <c r="D42" s="3">
        <v>431</v>
      </c>
      <c r="E42" s="3">
        <v>431</v>
      </c>
      <c r="F42">
        <f>Table1[[#This Row],[Before]]-Table1[[#This Row],[After]]</f>
        <v>0</v>
      </c>
      <c r="G42" s="30">
        <f>Table1[[#This Row],[Difference (d) *]]-(SUM(Table1[Difference (d) *])/COUNT(Table1[Difference (d) *]))</f>
        <v>25.916666666666668</v>
      </c>
      <c r="H42" s="30">
        <f>Table1[[#This Row],[(d - dbar)]]^2</f>
        <v>671.6736111111112</v>
      </c>
    </row>
    <row r="43" spans="1:19">
      <c r="C43" s="4" t="s">
        <v>88</v>
      </c>
      <c r="D43" s="3">
        <v>506</v>
      </c>
      <c r="E43" s="3">
        <v>525</v>
      </c>
      <c r="F43">
        <f>Table1[[#This Row],[Before]]-Table1[[#This Row],[After]]</f>
        <v>-19</v>
      </c>
      <c r="G43" s="30">
        <f>Table1[[#This Row],[Difference (d) *]]-(SUM(Table1[Difference (d) *])/COUNT(Table1[Difference (d) *]))</f>
        <v>6.9166666666666679</v>
      </c>
      <c r="H43" s="30">
        <f>Table1[[#This Row],[(d - dbar)]]^2</f>
        <v>47.840277777777793</v>
      </c>
    </row>
    <row r="44" spans="1:19">
      <c r="C44" s="4" t="s">
        <v>89</v>
      </c>
      <c r="D44" s="3">
        <v>505</v>
      </c>
      <c r="E44" s="3">
        <v>619</v>
      </c>
      <c r="F44">
        <f>Table1[[#This Row],[Before]]-Table1[[#This Row],[After]]</f>
        <v>-114</v>
      </c>
      <c r="G44" s="30">
        <f>Table1[[#This Row],[Difference (d) *]]-(SUM(Table1[Difference (d) *])/COUNT(Table1[Difference (d) *]))</f>
        <v>-88.083333333333329</v>
      </c>
      <c r="H44" s="30">
        <f>Table1[[#This Row],[(d - dbar)]]^2</f>
        <v>7758.6736111111104</v>
      </c>
    </row>
    <row r="45" spans="1:19">
      <c r="Q45" s="27"/>
    </row>
    <row r="46" spans="1:19">
      <c r="A46" s="1" t="s">
        <v>4</v>
      </c>
      <c r="K46" s="1" t="s">
        <v>5</v>
      </c>
    </row>
    <row r="47" spans="1:19">
      <c r="A47" s="1" t="s">
        <v>133</v>
      </c>
      <c r="B47" s="51" t="s">
        <v>134</v>
      </c>
      <c r="C47" s="51"/>
      <c r="D47" s="51"/>
      <c r="E47" s="51"/>
      <c r="F47" s="51"/>
      <c r="G47" s="51"/>
      <c r="H47" s="51"/>
      <c r="I47" s="51"/>
      <c r="K47" s="1" t="s">
        <v>91</v>
      </c>
    </row>
    <row r="48" spans="1:19">
      <c r="A48" s="1"/>
      <c r="B48" s="51"/>
      <c r="C48" s="51"/>
      <c r="D48" s="51"/>
      <c r="E48" s="51"/>
      <c r="F48" s="51"/>
      <c r="G48" s="51"/>
      <c r="H48" s="51"/>
      <c r="I48" s="51"/>
      <c r="K48" s="18" t="s">
        <v>25</v>
      </c>
      <c r="L48" s="11" t="s">
        <v>26</v>
      </c>
      <c r="M48" s="10"/>
      <c r="N48" s="9"/>
      <c r="O48" s="9"/>
      <c r="P48" s="9"/>
      <c r="R48" s="18" t="s">
        <v>10</v>
      </c>
      <c r="S48" s="11" t="s">
        <v>33</v>
      </c>
    </row>
    <row r="49" spans="1:23">
      <c r="A49" s="1"/>
      <c r="B49" s="51"/>
      <c r="C49" s="51"/>
      <c r="D49" s="51"/>
      <c r="E49" s="51"/>
      <c r="F49" s="51"/>
      <c r="G49" s="51"/>
      <c r="H49" s="51"/>
      <c r="I49" s="51"/>
      <c r="K49" s="11"/>
      <c r="L49" s="11"/>
      <c r="N49" s="10"/>
      <c r="O49" s="15" t="s">
        <v>76</v>
      </c>
      <c r="P49" s="15" t="s">
        <v>77</v>
      </c>
      <c r="T49" s="2" t="s">
        <v>42</v>
      </c>
      <c r="U49" s="8" t="str">
        <f>IF(NOT(ISERROR(FIND("!=",N57))),"Two",IF(NOT(ISERROR(FIND("&lt;",N57))),"Left","Right"))</f>
        <v>Right</v>
      </c>
      <c r="V49" s="8"/>
    </row>
    <row r="50" spans="1:23">
      <c r="A50" s="1"/>
      <c r="B50" s="51"/>
      <c r="C50" s="51"/>
      <c r="D50" s="51"/>
      <c r="E50" s="51"/>
      <c r="F50" s="51"/>
      <c r="G50" s="51"/>
      <c r="H50" s="51"/>
      <c r="I50" s="51"/>
      <c r="K50" s="28"/>
      <c r="L50" s="12"/>
      <c r="M50" s="12"/>
      <c r="N50" s="13" t="s">
        <v>12</v>
      </c>
      <c r="O50" s="49">
        <f>COUNT(D78:D85)</f>
        <v>8</v>
      </c>
      <c r="P50" s="49">
        <f>COUNT(E78:E85)</f>
        <v>8</v>
      </c>
      <c r="U50" t="str">
        <f>O49</f>
        <v>Before</v>
      </c>
      <c r="V50" t="str">
        <f>P49</f>
        <v>After</v>
      </c>
    </row>
    <row r="51" spans="1:23">
      <c r="A51" s="1"/>
      <c r="B51" s="51"/>
      <c r="C51" s="51"/>
      <c r="D51" s="51"/>
      <c r="E51" s="51"/>
      <c r="F51" s="51"/>
      <c r="G51" s="51"/>
      <c r="H51" s="51"/>
      <c r="I51" s="51"/>
      <c r="K51" s="28"/>
      <c r="L51" s="12"/>
      <c r="M51" s="12"/>
      <c r="N51" s="13" t="s">
        <v>107</v>
      </c>
      <c r="O51" s="45">
        <f>AVERAGE(D78:D85)</f>
        <v>5.5</v>
      </c>
      <c r="P51" s="45">
        <f>AVERAGE(E78:E85)</f>
        <v>3.75</v>
      </c>
      <c r="T51" s="2" t="s">
        <v>67</v>
      </c>
      <c r="U51" s="8">
        <f>O52^2/O50</f>
        <v>0.25000000000000006</v>
      </c>
      <c r="V51" s="8">
        <f>P52^2/P50</f>
        <v>0.52678571428571419</v>
      </c>
    </row>
    <row r="52" spans="1:23">
      <c r="A52" s="1"/>
      <c r="B52" s="51"/>
      <c r="C52" s="51"/>
      <c r="D52" s="51"/>
      <c r="E52" s="51"/>
      <c r="F52" s="51"/>
      <c r="G52" s="51"/>
      <c r="H52" s="51"/>
      <c r="I52" s="51"/>
      <c r="K52" s="28"/>
      <c r="L52" s="12"/>
      <c r="M52" s="12"/>
      <c r="N52" s="13" t="s">
        <v>66</v>
      </c>
      <c r="O52" s="45">
        <f>_xlfn.STDEV.S(D78:D85)</f>
        <v>1.4142135623730951</v>
      </c>
      <c r="P52" s="45">
        <f>_xlfn.STDEV.S(E78:E85)</f>
        <v>2.0528725518857018</v>
      </c>
      <c r="T52" s="2" t="s">
        <v>68</v>
      </c>
      <c r="U52" s="8">
        <f>U51^2</f>
        <v>6.2500000000000028E-2</v>
      </c>
      <c r="V52" s="8">
        <f>V51^2</f>
        <v>0.27750318877551011</v>
      </c>
      <c r="W52" s="23"/>
    </row>
    <row r="53" spans="1:23">
      <c r="A53" s="1"/>
      <c r="B53" s="51"/>
      <c r="C53" s="51"/>
      <c r="D53" s="51"/>
      <c r="E53" s="51"/>
      <c r="F53" s="51"/>
      <c r="G53" s="51"/>
      <c r="H53" s="51"/>
      <c r="I53" s="51"/>
      <c r="K53" s="28"/>
      <c r="L53" s="12"/>
      <c r="M53" s="12"/>
      <c r="N53" s="13" t="s">
        <v>57</v>
      </c>
      <c r="O53" s="15">
        <v>0.05</v>
      </c>
      <c r="P53" s="29">
        <f>O53</f>
        <v>0.05</v>
      </c>
      <c r="T53" s="2" t="s">
        <v>2</v>
      </c>
      <c r="U53" s="8">
        <f>O50-1</f>
        <v>7</v>
      </c>
      <c r="V53" s="8"/>
      <c r="W53" s="23"/>
    </row>
    <row r="54" spans="1:23">
      <c r="A54" s="1"/>
      <c r="B54" s="51"/>
      <c r="C54" s="51"/>
      <c r="D54" s="51"/>
      <c r="E54" s="51"/>
      <c r="F54" s="51"/>
      <c r="G54" s="51"/>
      <c r="H54" s="51"/>
      <c r="I54" s="51"/>
      <c r="K54" s="9"/>
      <c r="L54" s="9"/>
      <c r="M54" s="9"/>
      <c r="N54" s="9"/>
      <c r="O54" s="9"/>
      <c r="P54" s="9"/>
      <c r="T54" s="2" t="s">
        <v>41</v>
      </c>
      <c r="U54" s="8" t="str">
        <f>IF(U49="Two",P61/2,IF(U49="Left",P61,""))</f>
        <v/>
      </c>
      <c r="V54" s="8" t="str">
        <f>IF(P68="z-value",IFERROR(ROUND(_xlfn.NORM.S.INV(U54),3),""),IFERROR(ROUND(_xlfn.T.INV(U54,U53),3),""))</f>
        <v/>
      </c>
      <c r="W54" s="9"/>
    </row>
    <row r="55" spans="1:23">
      <c r="A55" s="1"/>
      <c r="B55" s="51"/>
      <c r="C55" s="51"/>
      <c r="D55" s="51"/>
      <c r="E55" s="51"/>
      <c r="F55" s="51"/>
      <c r="G55" s="51"/>
      <c r="H55" s="51"/>
      <c r="I55" s="51"/>
      <c r="K55" s="18" t="s">
        <v>7</v>
      </c>
      <c r="L55" s="11" t="s">
        <v>27</v>
      </c>
      <c r="O55" s="9"/>
      <c r="P55" s="9"/>
      <c r="T55" s="2" t="s">
        <v>43</v>
      </c>
      <c r="U55" s="8">
        <f>IF(U49="Two",1-P61/2,IF(U49="Left","",1-P61))</f>
        <v>0.95</v>
      </c>
      <c r="V55" s="8">
        <f>IF(P68="z-value",IFERROR(ROUND(_xlfn.NORM.S.INV(U55),3),""),IFERROR(ROUND(_xlfn.T.INV(U55,U53),3),""))</f>
        <v>1.895</v>
      </c>
    </row>
    <row r="56" spans="1:23">
      <c r="A56" s="1"/>
      <c r="B56" s="51"/>
      <c r="C56" s="51"/>
      <c r="D56" s="51"/>
      <c r="E56" s="51"/>
      <c r="F56" s="51"/>
      <c r="G56" s="51"/>
      <c r="H56" s="51"/>
      <c r="I56" s="51"/>
      <c r="K56" s="9"/>
      <c r="L56" s="38"/>
      <c r="M56" s="39" t="s">
        <v>15</v>
      </c>
      <c r="N56" s="40" t="s">
        <v>95</v>
      </c>
      <c r="O56" s="41"/>
      <c r="P56" s="42"/>
      <c r="U56" s="5" t="s">
        <v>39</v>
      </c>
      <c r="V56" s="6" t="str">
        <f>IF(U49="Left",P68&amp;" &lt; "&amp;V54,IF(U49="Right",P68&amp;" &gt; "&amp;V55,P68&amp;" &lt; "&amp;V54&amp;" OR "&amp;P68&amp;" &gt; "&amp;V55))</f>
        <v>t-value &gt; 1.895</v>
      </c>
    </row>
    <row r="57" spans="1:23">
      <c r="A57" s="1"/>
      <c r="B57" s="51"/>
      <c r="C57" s="51"/>
      <c r="D57" s="51"/>
      <c r="E57" s="51"/>
      <c r="F57" s="51"/>
      <c r="G57" s="51"/>
      <c r="H57" s="51"/>
      <c r="I57" s="51"/>
      <c r="K57" s="11"/>
      <c r="L57" s="38"/>
      <c r="M57" s="39" t="s">
        <v>16</v>
      </c>
      <c r="N57" s="40" t="s">
        <v>94</v>
      </c>
      <c r="O57" s="41"/>
      <c r="P57" s="42"/>
    </row>
    <row r="58" spans="1:23">
      <c r="A58" s="1"/>
      <c r="B58" s="51"/>
      <c r="C58" s="51"/>
      <c r="D58" s="51"/>
      <c r="E58" s="51"/>
      <c r="F58" s="51"/>
      <c r="G58" s="51"/>
      <c r="H58" s="51"/>
      <c r="I58" s="51"/>
      <c r="L58" s="55" t="s">
        <v>144</v>
      </c>
      <c r="M58" s="55"/>
      <c r="N58" s="55"/>
      <c r="O58" s="55"/>
      <c r="P58" s="55"/>
    </row>
    <row r="59" spans="1:23">
      <c r="A59" s="1"/>
      <c r="B59" s="51"/>
      <c r="C59" s="51"/>
      <c r="D59" s="51"/>
      <c r="E59" s="51"/>
      <c r="F59" s="51"/>
      <c r="G59" s="51"/>
      <c r="H59" s="51"/>
      <c r="I59" s="51"/>
      <c r="R59" s="18" t="s">
        <v>46</v>
      </c>
      <c r="S59" s="11" t="s">
        <v>45</v>
      </c>
      <c r="T59" s="9"/>
      <c r="U59" s="9"/>
      <c r="V59" s="9"/>
    </row>
    <row r="60" spans="1:23">
      <c r="A60" s="1"/>
      <c r="B60" s="51"/>
      <c r="C60" s="51"/>
      <c r="D60" s="51"/>
      <c r="E60" s="51"/>
      <c r="F60" s="51"/>
      <c r="G60" s="51"/>
      <c r="H60" s="51"/>
      <c r="I60" s="51"/>
      <c r="K60" s="18" t="s">
        <v>8</v>
      </c>
      <c r="L60" s="11" t="s">
        <v>28</v>
      </c>
      <c r="M60" s="9"/>
      <c r="N60" s="9"/>
      <c r="O60" s="9"/>
      <c r="P60" s="9"/>
      <c r="R60" s="11"/>
      <c r="S60" s="9"/>
      <c r="T60" s="2" t="s">
        <v>36</v>
      </c>
      <c r="U60" s="32">
        <f>O51-P51</f>
        <v>1.75</v>
      </c>
    </row>
    <row r="61" spans="1:23">
      <c r="B61" s="51"/>
      <c r="C61" s="51"/>
      <c r="D61" s="51"/>
      <c r="E61" s="51"/>
      <c r="F61" s="51"/>
      <c r="G61" s="51"/>
      <c r="H61" s="51"/>
      <c r="I61" s="51"/>
      <c r="K61" s="9"/>
      <c r="L61" s="9"/>
      <c r="O61" s="20" t="s">
        <v>3</v>
      </c>
      <c r="P61" s="24">
        <f>O53</f>
        <v>0.05</v>
      </c>
      <c r="R61" s="9"/>
      <c r="S61" s="9"/>
      <c r="T61" s="2"/>
      <c r="U61" s="1" t="str">
        <f>O49</f>
        <v>Before</v>
      </c>
      <c r="V61" s="1" t="str">
        <f>P49</f>
        <v>After</v>
      </c>
    </row>
    <row r="62" spans="1:23">
      <c r="B62" s="51"/>
      <c r="C62" s="51"/>
      <c r="D62" s="51"/>
      <c r="E62" s="51"/>
      <c r="F62" s="51"/>
      <c r="G62" s="51"/>
      <c r="H62" s="51"/>
      <c r="I62" s="51"/>
      <c r="K62" s="19"/>
      <c r="L62" s="9"/>
      <c r="M62" s="9"/>
      <c r="N62" s="9"/>
      <c r="O62" s="9"/>
      <c r="P62" s="9"/>
      <c r="R62" s="9"/>
      <c r="S62" s="9"/>
      <c r="T62" s="2" t="s">
        <v>67</v>
      </c>
      <c r="U62" s="8">
        <f>O52^2/O50</f>
        <v>0.25000000000000006</v>
      </c>
      <c r="V62" s="8">
        <f>P52^2/P50</f>
        <v>0.52678571428571419</v>
      </c>
    </row>
    <row r="63" spans="1:23">
      <c r="B63" s="1"/>
      <c r="C63" s="31"/>
      <c r="D63" s="31"/>
      <c r="K63" s="18" t="s">
        <v>9</v>
      </c>
      <c r="L63" s="11" t="s">
        <v>34</v>
      </c>
      <c r="M63" s="9"/>
      <c r="N63" s="9"/>
      <c r="O63" s="9"/>
      <c r="P63" s="9"/>
      <c r="R63" s="9"/>
      <c r="S63" s="9"/>
      <c r="T63" s="2" t="str">
        <f>"Test statistic: "&amp;P68</f>
        <v>Test statistic: t-value</v>
      </c>
      <c r="U63" s="8">
        <f>F64/(F65/SQRT(O50))</f>
        <v>1.6977493752543309</v>
      </c>
      <c r="V63" s="8"/>
    </row>
    <row r="64" spans="1:23">
      <c r="E64" s="5" t="s">
        <v>99</v>
      </c>
      <c r="F64" s="44">
        <f>SUM(Table13[Difference (d) *])/COUNT(Table13[Difference (d) *])</f>
        <v>1.75</v>
      </c>
      <c r="M64" s="21"/>
      <c r="O64" s="22" t="s">
        <v>38</v>
      </c>
      <c r="P64" s="21" t="b">
        <f>AND(O52&lt;&gt;"",P52&lt;&gt;"")</f>
        <v>1</v>
      </c>
      <c r="U64" t="str">
        <f>SUBSTITUTE(V56,P68,ROUND(U63,3))</f>
        <v>1.698 &gt; 1.895</v>
      </c>
    </row>
    <row r="65" spans="2:23">
      <c r="E65" s="5" t="s">
        <v>97</v>
      </c>
      <c r="F65" s="44">
        <f>SQRT(H76/U53)</f>
        <v>2.9154759474226504</v>
      </c>
      <c r="G65" s="16"/>
      <c r="H65" s="16"/>
      <c r="K65" s="11"/>
      <c r="M65" s="21"/>
      <c r="O65" s="22" t="s">
        <v>62</v>
      </c>
      <c r="P65" s="14" t="b">
        <f>O52=P52</f>
        <v>0</v>
      </c>
      <c r="T65" s="8"/>
      <c r="U65" s="3" t="b">
        <v>0</v>
      </c>
    </row>
    <row r="66" spans="2:23">
      <c r="D66" s="37" t="s">
        <v>104</v>
      </c>
      <c r="G66" s="16"/>
      <c r="H66" s="16"/>
      <c r="O66" s="22" t="s">
        <v>32</v>
      </c>
      <c r="P66" s="21" t="b">
        <v>1</v>
      </c>
      <c r="S66" s="11" t="str">
        <f>IF(U65,"Reject H0", "Fail to Reject H0")</f>
        <v>Fail to Reject H0</v>
      </c>
    </row>
    <row r="67" spans="2:23">
      <c r="D67" s="37" t="s">
        <v>106</v>
      </c>
    </row>
    <row r="68" spans="2:23">
      <c r="D68" s="37" t="s">
        <v>101</v>
      </c>
      <c r="E68" s="37"/>
      <c r="F68" s="37"/>
      <c r="G68" s="37"/>
      <c r="H68" s="37"/>
      <c r="O68" s="5" t="s">
        <v>35</v>
      </c>
      <c r="P68" s="17" t="str">
        <f>IF(AND(P64,P66,P65),"z-value","t-value")</f>
        <v>t-value</v>
      </c>
      <c r="R68" s="18" t="s">
        <v>47</v>
      </c>
      <c r="S68" s="1" t="s">
        <v>48</v>
      </c>
    </row>
    <row r="69" spans="2:23">
      <c r="D69" s="37" t="s">
        <v>100</v>
      </c>
      <c r="E69" s="37"/>
      <c r="F69" s="37"/>
      <c r="G69" s="37"/>
      <c r="H69" s="37"/>
      <c r="S69" t="s">
        <v>1</v>
      </c>
      <c r="T69">
        <f>ROUND(IF(U49="Right",_xlfn.T.DIST.RT(ABS(U63),U53),IF(U49="Left",1-_xlfn.T.DIST(ABS(U63),U53,TRUE),_xlfn.T.DIST.2T(ABS(U63),U53))),4)</f>
        <v>6.6699999999999995E-2</v>
      </c>
    </row>
    <row r="70" spans="2:23">
      <c r="D70" s="37"/>
      <c r="E70" s="37"/>
      <c r="F70" s="37"/>
      <c r="G70" s="37"/>
      <c r="H70" s="37"/>
      <c r="S70" s="11" t="str">
        <f>IF(T69&lt;P61,"Reject H0", "Fail to Reject H0")</f>
        <v>Fail to Reject H0</v>
      </c>
    </row>
    <row r="71" spans="2:23">
      <c r="D71" s="37" t="s">
        <v>102</v>
      </c>
      <c r="E71" s="37"/>
      <c r="F71" s="37"/>
      <c r="G71" s="37"/>
      <c r="H71" s="37"/>
      <c r="S71" s="54" t="str">
        <f>"We can"&amp;IF(T69&lt;P61,"","not")&amp;" conclude that "&amp;L58&amp;"."</f>
        <v>We cannot conclude that the number of absences has declined.</v>
      </c>
      <c r="T71" s="54"/>
      <c r="U71" s="54"/>
      <c r="V71" s="54"/>
      <c r="W71" s="54"/>
    </row>
    <row r="72" spans="2:23">
      <c r="D72" s="37" t="s">
        <v>103</v>
      </c>
      <c r="E72" s="37"/>
      <c r="F72" s="37"/>
      <c r="G72" s="37"/>
      <c r="H72" s="37"/>
      <c r="S72" s="54"/>
      <c r="T72" s="54"/>
      <c r="U72" s="54"/>
      <c r="V72" s="54"/>
      <c r="W72" s="54"/>
    </row>
    <row r="73" spans="2:23">
      <c r="E73" s="37"/>
      <c r="F73" s="37"/>
      <c r="G73" s="37"/>
      <c r="H73" s="37"/>
      <c r="S73" s="54"/>
      <c r="T73" s="54"/>
      <c r="U73" s="54"/>
      <c r="V73" s="54"/>
      <c r="W73" s="54"/>
    </row>
    <row r="74" spans="2:23">
      <c r="D74" s="37" t="s">
        <v>145</v>
      </c>
      <c r="S74" s="54"/>
      <c r="T74" s="54"/>
      <c r="U74" s="54"/>
      <c r="V74" s="54"/>
      <c r="W74" s="54"/>
    </row>
    <row r="75" spans="2:23">
      <c r="D75" s="37" t="s">
        <v>103</v>
      </c>
    </row>
    <row r="76" spans="2:23">
      <c r="F76" s="16">
        <f>SUM(Table13[Difference (d) *])</f>
        <v>14</v>
      </c>
      <c r="G76" s="36">
        <f>SUM(Table13[(d - dbar)])</f>
        <v>0</v>
      </c>
      <c r="H76" s="36">
        <f>SUM(Table13[(d - dbar)^2])</f>
        <v>59.5</v>
      </c>
      <c r="R76" s="9"/>
    </row>
    <row r="77" spans="2:23">
      <c r="B77" s="16"/>
      <c r="C77" s="35" t="s">
        <v>135</v>
      </c>
      <c r="D77" s="35" t="s">
        <v>76</v>
      </c>
      <c r="E77" s="35" t="s">
        <v>77</v>
      </c>
      <c r="F77" s="43" t="s">
        <v>105</v>
      </c>
      <c r="G77" s="1" t="s">
        <v>92</v>
      </c>
      <c r="H77" s="1" t="s">
        <v>93</v>
      </c>
      <c r="I77" s="16"/>
    </row>
    <row r="78" spans="2:23">
      <c r="B78" s="16"/>
      <c r="C78" s="4" t="s">
        <v>136</v>
      </c>
      <c r="D78" s="3">
        <v>6</v>
      </c>
      <c r="E78" s="3">
        <v>5</v>
      </c>
      <c r="F78">
        <f>Table13[[#This Row],[Before]]-Table13[[#This Row],[After]]</f>
        <v>1</v>
      </c>
      <c r="G78" s="30">
        <f>Table13[[#This Row],[Difference (d) *]]-(SUM(Table13[Difference (d) *])/COUNT(Table13[Difference (d) *]))</f>
        <v>-0.75</v>
      </c>
      <c r="H78" s="30">
        <f>Table13[[#This Row],[(d - dbar)]]^2</f>
        <v>0.5625</v>
      </c>
      <c r="I78" s="16"/>
    </row>
    <row r="79" spans="2:23">
      <c r="B79" s="16"/>
      <c r="C79" s="4" t="s">
        <v>137</v>
      </c>
      <c r="D79" s="3">
        <v>6</v>
      </c>
      <c r="E79" s="3">
        <v>2</v>
      </c>
      <c r="F79">
        <f>Table13[[#This Row],[Before]]-Table13[[#This Row],[After]]</f>
        <v>4</v>
      </c>
      <c r="G79" s="30">
        <f>Table13[[#This Row],[Difference (d) *]]-(SUM(Table13[Difference (d) *])/COUNT(Table13[Difference (d) *]))</f>
        <v>2.25</v>
      </c>
      <c r="H79" s="30">
        <f>Table13[[#This Row],[(d - dbar)]]^2</f>
        <v>5.0625</v>
      </c>
      <c r="I79" s="16"/>
    </row>
    <row r="80" spans="2:23">
      <c r="B80" s="16"/>
      <c r="C80" s="4" t="s">
        <v>138</v>
      </c>
      <c r="D80" s="3">
        <v>7</v>
      </c>
      <c r="E80" s="3">
        <v>1</v>
      </c>
      <c r="F80">
        <f>Table13[[#This Row],[Before]]-Table13[[#This Row],[After]]</f>
        <v>6</v>
      </c>
      <c r="G80" s="30">
        <f>Table13[[#This Row],[Difference (d) *]]-(SUM(Table13[Difference (d) *])/COUNT(Table13[Difference (d) *]))</f>
        <v>4.25</v>
      </c>
      <c r="H80" s="30">
        <f>Table13[[#This Row],[(d - dbar)]]^2</f>
        <v>18.0625</v>
      </c>
      <c r="I80" s="16"/>
    </row>
    <row r="81" spans="1:23">
      <c r="C81" s="4" t="s">
        <v>139</v>
      </c>
      <c r="D81" s="3">
        <v>7</v>
      </c>
      <c r="E81" s="3">
        <v>3</v>
      </c>
      <c r="F81">
        <f>Table13[[#This Row],[Before]]-Table13[[#This Row],[After]]</f>
        <v>4</v>
      </c>
      <c r="G81" s="30">
        <f>Table13[[#This Row],[Difference (d) *]]-(SUM(Table13[Difference (d) *])/COUNT(Table13[Difference (d) *]))</f>
        <v>2.25</v>
      </c>
      <c r="H81" s="30">
        <f>Table13[[#This Row],[(d - dbar)]]^2</f>
        <v>5.0625</v>
      </c>
    </row>
    <row r="82" spans="1:23">
      <c r="C82" s="4" t="s">
        <v>140</v>
      </c>
      <c r="D82" s="3">
        <v>4</v>
      </c>
      <c r="E82" s="3">
        <v>3</v>
      </c>
      <c r="F82">
        <f>Table13[[#This Row],[Before]]-Table13[[#This Row],[After]]</f>
        <v>1</v>
      </c>
      <c r="G82" s="30">
        <f>Table13[[#This Row],[Difference (d) *]]-(SUM(Table13[Difference (d) *])/COUNT(Table13[Difference (d) *]))</f>
        <v>-0.75</v>
      </c>
      <c r="H82" s="30">
        <f>Table13[[#This Row],[(d - dbar)]]^2</f>
        <v>0.5625</v>
      </c>
    </row>
    <row r="83" spans="1:23">
      <c r="C83" s="4" t="s">
        <v>141</v>
      </c>
      <c r="D83" s="3">
        <v>3</v>
      </c>
      <c r="E83" s="3">
        <v>6</v>
      </c>
      <c r="F83">
        <f>Table13[[#This Row],[Before]]-Table13[[#This Row],[After]]</f>
        <v>-3</v>
      </c>
      <c r="G83" s="30">
        <f>Table13[[#This Row],[Difference (d) *]]-(SUM(Table13[Difference (d) *])/COUNT(Table13[Difference (d) *]))</f>
        <v>-4.75</v>
      </c>
      <c r="H83" s="30">
        <f>Table13[[#This Row],[(d - dbar)]]^2</f>
        <v>22.5625</v>
      </c>
    </row>
    <row r="84" spans="1:23">
      <c r="C84" s="4" t="s">
        <v>142</v>
      </c>
      <c r="D84" s="3">
        <v>5</v>
      </c>
      <c r="E84" s="3">
        <v>3</v>
      </c>
      <c r="F84">
        <f>Table13[[#This Row],[Before]]-Table13[[#This Row],[After]]</f>
        <v>2</v>
      </c>
      <c r="G84" s="30">
        <f>Table13[[#This Row],[Difference (d) *]]-(SUM(Table13[Difference (d) *])/COUNT(Table13[Difference (d) *]))</f>
        <v>0.25</v>
      </c>
      <c r="H84" s="30">
        <f>Table13[[#This Row],[(d - dbar)]]^2</f>
        <v>6.25E-2</v>
      </c>
    </row>
    <row r="85" spans="1:23">
      <c r="C85" s="4" t="s">
        <v>143</v>
      </c>
      <c r="D85" s="3">
        <v>6</v>
      </c>
      <c r="E85" s="3">
        <v>7</v>
      </c>
      <c r="F85">
        <f>Table13[[#This Row],[Before]]-Table13[[#This Row],[After]]</f>
        <v>-1</v>
      </c>
      <c r="G85" s="30">
        <f>Table13[[#This Row],[Difference (d) *]]-(SUM(Table13[Difference (d) *])/COUNT(Table13[Difference (d) *]))</f>
        <v>-2.75</v>
      </c>
      <c r="H85" s="30">
        <f>Table13[[#This Row],[(d - dbar)]]^2</f>
        <v>7.5625</v>
      </c>
    </row>
    <row r="87" spans="1:23">
      <c r="A87" s="1" t="s">
        <v>4</v>
      </c>
      <c r="K87" s="1" t="s">
        <v>5</v>
      </c>
    </row>
    <row r="88" spans="1:23" ht="12" customHeight="1">
      <c r="A88" s="1" t="s">
        <v>11</v>
      </c>
      <c r="B88" s="51" t="s">
        <v>146</v>
      </c>
      <c r="C88" s="51"/>
      <c r="D88" s="51"/>
      <c r="E88" s="51"/>
      <c r="F88" s="51"/>
      <c r="G88" s="51"/>
      <c r="H88" s="51"/>
      <c r="I88" s="51"/>
      <c r="K88" s="1" t="s">
        <v>91</v>
      </c>
    </row>
    <row r="89" spans="1:23">
      <c r="A89" s="1"/>
      <c r="B89" s="51"/>
      <c r="C89" s="51"/>
      <c r="D89" s="51"/>
      <c r="E89" s="51"/>
      <c r="F89" s="51"/>
      <c r="G89" s="51"/>
      <c r="H89" s="51"/>
      <c r="I89" s="51"/>
      <c r="K89" s="18" t="s">
        <v>25</v>
      </c>
      <c r="L89" s="11" t="s">
        <v>26</v>
      </c>
      <c r="M89" s="10"/>
      <c r="N89" s="9"/>
      <c r="O89" s="9"/>
      <c r="P89" s="9"/>
      <c r="R89" s="18" t="s">
        <v>10</v>
      </c>
      <c r="S89" s="11" t="s">
        <v>33</v>
      </c>
    </row>
    <row r="90" spans="1:23">
      <c r="A90" s="1"/>
      <c r="B90" s="51"/>
      <c r="C90" s="51"/>
      <c r="D90" s="51"/>
      <c r="E90" s="51"/>
      <c r="F90" s="51"/>
      <c r="G90" s="51"/>
      <c r="H90" s="51"/>
      <c r="I90" s="51"/>
      <c r="K90" s="11"/>
      <c r="L90" s="11"/>
      <c r="N90" s="10"/>
      <c r="O90" s="15" t="s">
        <v>76</v>
      </c>
      <c r="P90" s="15" t="s">
        <v>77</v>
      </c>
      <c r="T90" s="2" t="s">
        <v>42</v>
      </c>
      <c r="U90" s="8" t="str">
        <f>IF(NOT(ISERROR(FIND("!=",N98))),"Two",IF(NOT(ISERROR(FIND("&lt;",N98))),"Left","Right"))</f>
        <v>Right</v>
      </c>
      <c r="V90" s="8"/>
    </row>
    <row r="91" spans="1:23">
      <c r="A91" s="1"/>
      <c r="B91" s="51"/>
      <c r="C91" s="51"/>
      <c r="D91" s="51"/>
      <c r="E91" s="51"/>
      <c r="F91" s="51"/>
      <c r="G91" s="51"/>
      <c r="H91" s="51"/>
      <c r="I91" s="51"/>
      <c r="K91" s="28"/>
      <c r="L91" s="12"/>
      <c r="M91" s="12"/>
      <c r="N91" s="13" t="s">
        <v>12</v>
      </c>
      <c r="O91" s="49">
        <f>COUNT(D119:D126)</f>
        <v>8</v>
      </c>
      <c r="P91" s="49">
        <f>COUNT(E119:E126)</f>
        <v>8</v>
      </c>
      <c r="U91" t="str">
        <f>O90</f>
        <v>Before</v>
      </c>
      <c r="V91" t="str">
        <f>P90</f>
        <v>After</v>
      </c>
    </row>
    <row r="92" spans="1:23">
      <c r="A92" s="1"/>
      <c r="B92" s="51"/>
      <c r="C92" s="51"/>
      <c r="D92" s="51"/>
      <c r="E92" s="51"/>
      <c r="F92" s="51"/>
      <c r="G92" s="51"/>
      <c r="H92" s="51"/>
      <c r="I92" s="51"/>
      <c r="K92" s="28"/>
      <c r="L92" s="12"/>
      <c r="M92" s="12"/>
      <c r="N92" s="13" t="s">
        <v>107</v>
      </c>
      <c r="O92" s="45">
        <f>AVERAGE(D119:D126)</f>
        <v>8.7000000000000011</v>
      </c>
      <c r="P92" s="45">
        <f>AVERAGE(E119:E126)</f>
        <v>5.5875000000000004</v>
      </c>
      <c r="T92" s="2" t="s">
        <v>67</v>
      </c>
      <c r="U92" s="8">
        <f>O93^2/O91</f>
        <v>0.58357142857142763</v>
      </c>
      <c r="V92" s="8">
        <f>P93^2/P91</f>
        <v>0.85051339285714245</v>
      </c>
    </row>
    <row r="93" spans="1:23">
      <c r="A93" s="1"/>
      <c r="B93" s="51"/>
      <c r="C93" s="51"/>
      <c r="D93" s="51"/>
      <c r="E93" s="51"/>
      <c r="F93" s="51"/>
      <c r="G93" s="51"/>
      <c r="H93" s="51"/>
      <c r="I93" s="51"/>
      <c r="K93" s="28"/>
      <c r="L93" s="12"/>
      <c r="M93" s="12"/>
      <c r="N93" s="13" t="s">
        <v>66</v>
      </c>
      <c r="O93" s="45">
        <f>_xlfn.STDEV.S(D119:D126)</f>
        <v>2.1606877212062416</v>
      </c>
      <c r="P93" s="45">
        <f>_xlfn.STDEV.S(E119:E126)</f>
        <v>2.6084683518987037</v>
      </c>
      <c r="T93" s="2" t="s">
        <v>68</v>
      </c>
      <c r="U93" s="8">
        <f>U92^2</f>
        <v>0.34055561224489689</v>
      </c>
      <c r="V93" s="8">
        <f>V92^2</f>
        <v>0.72337303142936793</v>
      </c>
      <c r="W93" s="23"/>
    </row>
    <row r="94" spans="1:23">
      <c r="A94" s="1"/>
      <c r="B94" s="16"/>
      <c r="C94" s="16"/>
      <c r="D94" s="16"/>
      <c r="E94" s="16"/>
      <c r="F94" s="16"/>
      <c r="G94" s="16"/>
      <c r="H94" s="16"/>
      <c r="I94" s="16"/>
      <c r="K94" s="28"/>
      <c r="L94" s="12"/>
      <c r="M94" s="12"/>
      <c r="N94" s="13" t="s">
        <v>57</v>
      </c>
      <c r="O94" s="15">
        <v>0.05</v>
      </c>
      <c r="P94" s="29">
        <f>O94</f>
        <v>0.05</v>
      </c>
      <c r="T94" s="2" t="s">
        <v>2</v>
      </c>
      <c r="U94" s="8">
        <f>O91-1</f>
        <v>7</v>
      </c>
      <c r="V94" s="8"/>
      <c r="W94" s="23"/>
    </row>
    <row r="95" spans="1:23">
      <c r="A95" s="1"/>
      <c r="B95" s="51" t="s">
        <v>147</v>
      </c>
      <c r="C95" s="51"/>
      <c r="D95" s="51"/>
      <c r="E95" s="51"/>
      <c r="F95" s="51"/>
      <c r="G95" s="51"/>
      <c r="H95" s="51"/>
      <c r="I95" s="51"/>
      <c r="K95" s="9"/>
      <c r="L95" s="9"/>
      <c r="M95" s="9"/>
      <c r="N95" s="9"/>
      <c r="O95" s="9"/>
      <c r="P95" s="9"/>
      <c r="T95" s="2" t="s">
        <v>41</v>
      </c>
      <c r="U95" s="8" t="str">
        <f>IF(U90="Two",P102/2,IF(U90="Left",P102,""))</f>
        <v/>
      </c>
      <c r="V95" s="8" t="str">
        <f>IF(P109="z-value",IFERROR(ROUND(_xlfn.NORM.S.INV(U95),3),""),IFERROR(ROUND(_xlfn.T.INV(U95,U94),3),""))</f>
        <v/>
      </c>
      <c r="W95" s="9"/>
    </row>
    <row r="96" spans="1:23">
      <c r="A96" s="1"/>
      <c r="B96" s="51"/>
      <c r="C96" s="51"/>
      <c r="D96" s="51"/>
      <c r="E96" s="51"/>
      <c r="F96" s="51"/>
      <c r="G96" s="51"/>
      <c r="H96" s="51"/>
      <c r="I96" s="51"/>
      <c r="K96" s="18" t="s">
        <v>7</v>
      </c>
      <c r="L96" s="11" t="s">
        <v>27</v>
      </c>
      <c r="O96" s="9"/>
      <c r="P96" s="9"/>
      <c r="T96" s="2" t="s">
        <v>43</v>
      </c>
      <c r="U96" s="8">
        <f>IF(U90="Two",1-P102/2,IF(U90="Left","",1-P102))</f>
        <v>0.95</v>
      </c>
      <c r="V96" s="8">
        <f>IF(P109="z-value",IFERROR(ROUND(_xlfn.NORM.S.INV(U96),3),""),IFERROR(ROUND(_xlfn.T.INV(U96,U94),3),""))</f>
        <v>1.895</v>
      </c>
    </row>
    <row r="97" spans="1:23">
      <c r="A97" s="1"/>
      <c r="B97" s="16"/>
      <c r="C97" s="16"/>
      <c r="D97" s="16"/>
      <c r="E97" s="16"/>
      <c r="F97" s="16"/>
      <c r="G97" s="16"/>
      <c r="H97" s="16"/>
      <c r="I97" s="16"/>
      <c r="K97" s="9"/>
      <c r="L97" s="38"/>
      <c r="M97" s="39" t="s">
        <v>15</v>
      </c>
      <c r="N97" s="40" t="s">
        <v>95</v>
      </c>
      <c r="O97" s="41"/>
      <c r="P97" s="42"/>
      <c r="U97" s="5" t="s">
        <v>39</v>
      </c>
      <c r="V97" s="6" t="str">
        <f>IF(U90="Left",P109&amp;" &lt; "&amp;V95,IF(U90="Right",P109&amp;" &gt; "&amp;V96,P109&amp;" &lt; "&amp;V95&amp;" OR "&amp;P109&amp;" &gt; "&amp;V96))</f>
        <v>t-value &gt; 1.895</v>
      </c>
    </row>
    <row r="98" spans="1:23">
      <c r="A98" s="1"/>
      <c r="B98" s="16"/>
      <c r="C98" s="16"/>
      <c r="D98" s="16"/>
      <c r="E98" s="16"/>
      <c r="F98" s="16"/>
      <c r="G98" s="16"/>
      <c r="H98" s="16"/>
      <c r="I98" s="16"/>
      <c r="K98" s="11"/>
      <c r="L98" s="38"/>
      <c r="M98" s="39" t="s">
        <v>16</v>
      </c>
      <c r="N98" s="40" t="s">
        <v>94</v>
      </c>
      <c r="O98" s="41"/>
      <c r="P98" s="42"/>
    </row>
    <row r="99" spans="1:23">
      <c r="A99" s="1"/>
      <c r="B99" s="16"/>
      <c r="C99" s="16"/>
      <c r="D99" s="16"/>
      <c r="E99" s="16"/>
      <c r="F99" s="16"/>
      <c r="G99" s="16"/>
      <c r="H99" s="16"/>
      <c r="I99" s="16"/>
      <c r="L99" s="55" t="s">
        <v>156</v>
      </c>
      <c r="M99" s="55"/>
      <c r="N99" s="55"/>
      <c r="O99" s="55"/>
      <c r="P99" s="55"/>
    </row>
    <row r="100" spans="1:23">
      <c r="A100" s="1"/>
      <c r="B100" s="16"/>
      <c r="C100" s="16"/>
      <c r="D100" s="16"/>
      <c r="E100" s="16"/>
      <c r="F100" s="16"/>
      <c r="G100" s="16"/>
      <c r="H100" s="16"/>
      <c r="I100" s="16"/>
      <c r="R100" s="18" t="s">
        <v>46</v>
      </c>
      <c r="S100" s="11" t="s">
        <v>45</v>
      </c>
      <c r="T100" s="9"/>
      <c r="U100" s="9"/>
      <c r="V100" s="9"/>
    </row>
    <row r="101" spans="1:23">
      <c r="A101" s="1"/>
      <c r="B101" s="16"/>
      <c r="C101" s="16"/>
      <c r="D101" s="16"/>
      <c r="E101" s="16"/>
      <c r="F101" s="16"/>
      <c r="G101" s="16"/>
      <c r="H101" s="16"/>
      <c r="I101" s="16"/>
      <c r="K101" s="18" t="s">
        <v>8</v>
      </c>
      <c r="L101" s="11" t="s">
        <v>28</v>
      </c>
      <c r="M101" s="9"/>
      <c r="N101" s="9"/>
      <c r="O101" s="9"/>
      <c r="P101" s="9"/>
      <c r="R101" s="11"/>
      <c r="S101" s="9"/>
      <c r="T101" s="2" t="s">
        <v>36</v>
      </c>
      <c r="U101" s="32">
        <f>O92-P92</f>
        <v>3.1125000000000007</v>
      </c>
    </row>
    <row r="102" spans="1:23">
      <c r="B102" s="16"/>
      <c r="C102" s="16"/>
      <c r="D102" s="16"/>
      <c r="E102" s="16"/>
      <c r="F102" s="16"/>
      <c r="G102" s="16"/>
      <c r="H102" s="16"/>
      <c r="I102" s="16"/>
      <c r="K102" s="9"/>
      <c r="L102" s="9"/>
      <c r="O102" s="20" t="s">
        <v>3</v>
      </c>
      <c r="P102" s="24">
        <f>O94</f>
        <v>0.05</v>
      </c>
      <c r="R102" s="9"/>
      <c r="S102" s="9"/>
      <c r="T102" s="2"/>
      <c r="U102" s="1" t="str">
        <f>O90</f>
        <v>Before</v>
      </c>
      <c r="V102" s="1" t="str">
        <f>P90</f>
        <v>After</v>
      </c>
    </row>
    <row r="103" spans="1:23">
      <c r="B103" s="16"/>
      <c r="C103" s="16"/>
      <c r="D103" s="16"/>
      <c r="E103" s="16"/>
      <c r="F103" s="16"/>
      <c r="G103" s="16"/>
      <c r="H103" s="16"/>
      <c r="I103" s="16"/>
      <c r="K103" s="19"/>
      <c r="L103" s="9"/>
      <c r="M103" s="9"/>
      <c r="N103" s="9"/>
      <c r="O103" s="9"/>
      <c r="P103" s="9"/>
      <c r="R103" s="9"/>
      <c r="S103" s="9"/>
      <c r="T103" s="2" t="s">
        <v>67</v>
      </c>
      <c r="U103" s="8">
        <f>O93^2/O91</f>
        <v>0.58357142857142763</v>
      </c>
      <c r="V103" s="8">
        <f>P93^2/P91</f>
        <v>0.85051339285714245</v>
      </c>
    </row>
    <row r="104" spans="1:23">
      <c r="B104" s="1"/>
      <c r="C104" s="31"/>
      <c r="D104" s="31"/>
      <c r="K104" s="18" t="s">
        <v>9</v>
      </c>
      <c r="L104" s="11" t="s">
        <v>34</v>
      </c>
      <c r="M104" s="9"/>
      <c r="N104" s="9"/>
      <c r="O104" s="9"/>
      <c r="P104" s="9"/>
      <c r="R104" s="9"/>
      <c r="S104" s="9"/>
      <c r="T104" s="2" t="str">
        <f>"Test statistic: "&amp;P109</f>
        <v>Test statistic: t-value</v>
      </c>
      <c r="U104" s="8">
        <f>F105/(F106/SQRT(O91))</f>
        <v>3.023923321756433</v>
      </c>
      <c r="V104" s="8"/>
    </row>
    <row r="105" spans="1:23">
      <c r="E105" s="5" t="s">
        <v>99</v>
      </c>
      <c r="F105" s="44">
        <f>SUM(Table134[Difference (d) *])/COUNT(Table134[Difference (d) *])</f>
        <v>3.1124999999999998</v>
      </c>
      <c r="M105" s="21"/>
      <c r="O105" s="22" t="s">
        <v>38</v>
      </c>
      <c r="P105" s="21" t="b">
        <f>AND(O93&lt;&gt;"",P93&lt;&gt;"")</f>
        <v>1</v>
      </c>
      <c r="U105" t="str">
        <f>SUBSTITUTE(V97,P109,ROUND(U104,3))</f>
        <v>3.024 &gt; 1.895</v>
      </c>
    </row>
    <row r="106" spans="1:23">
      <c r="E106" s="5" t="s">
        <v>97</v>
      </c>
      <c r="F106" s="44">
        <f>SQRT(H117/U94)</f>
        <v>2.9112773337979525</v>
      </c>
      <c r="G106" s="16"/>
      <c r="H106" s="16"/>
      <c r="K106" s="11"/>
      <c r="M106" s="21"/>
      <c r="O106" s="22" t="s">
        <v>62</v>
      </c>
      <c r="P106" s="14" t="b">
        <f>O93=P93</f>
        <v>0</v>
      </c>
      <c r="T106" s="8"/>
      <c r="U106" s="3" t="b">
        <v>1</v>
      </c>
    </row>
    <row r="107" spans="1:23">
      <c r="D107" s="37" t="s">
        <v>104</v>
      </c>
      <c r="G107" s="16"/>
      <c r="H107" s="16"/>
      <c r="O107" s="22" t="s">
        <v>32</v>
      </c>
      <c r="P107" s="21" t="b">
        <v>1</v>
      </c>
      <c r="S107" s="11" t="str">
        <f>IF(U106,"Reject H0", "Fail to Reject H0")</f>
        <v>Reject H0</v>
      </c>
    </row>
    <row r="108" spans="1:23">
      <c r="D108" s="37" t="s">
        <v>106</v>
      </c>
    </row>
    <row r="109" spans="1:23">
      <c r="D109" s="37" t="s">
        <v>101</v>
      </c>
      <c r="E109" s="37"/>
      <c r="F109" s="37"/>
      <c r="G109" s="37"/>
      <c r="H109" s="37"/>
      <c r="O109" s="5" t="s">
        <v>35</v>
      </c>
      <c r="P109" s="17" t="str">
        <f>IF(AND(P105,P107,P106),"z-value","t-value")</f>
        <v>t-value</v>
      </c>
      <c r="R109" s="18" t="s">
        <v>47</v>
      </c>
      <c r="S109" s="1" t="s">
        <v>48</v>
      </c>
    </row>
    <row r="110" spans="1:23">
      <c r="D110" s="37" t="s">
        <v>100</v>
      </c>
      <c r="E110" s="37"/>
      <c r="F110" s="37"/>
      <c r="G110" s="37"/>
      <c r="H110" s="37"/>
      <c r="S110" t="s">
        <v>1</v>
      </c>
      <c r="T110">
        <f>ROUND(IF(U90="Right",_xlfn.T.DIST.RT(ABS(U104),U94),IF(U90="Left",1-_xlfn.T.DIST(ABS(U104),U94,TRUE),_xlfn.T.DIST.2T(ABS(U104),U94))),4)</f>
        <v>9.5999999999999992E-3</v>
      </c>
    </row>
    <row r="111" spans="1:23">
      <c r="D111" s="37"/>
      <c r="E111" s="37"/>
      <c r="F111" s="37"/>
      <c r="G111" s="37"/>
      <c r="H111" s="37"/>
      <c r="S111" s="11" t="str">
        <f>IF(T110&lt;P102,"Reject H0", "Fail to Reject H0")</f>
        <v>Reject H0</v>
      </c>
    </row>
    <row r="112" spans="1:23">
      <c r="D112" s="37" t="s">
        <v>102</v>
      </c>
      <c r="E112" s="37"/>
      <c r="F112" s="37"/>
      <c r="G112" s="37"/>
      <c r="H112" s="37"/>
      <c r="S112" s="54" t="str">
        <f>"We can"&amp;IF(T110&lt;P102,"","not")&amp;" conclude that "&amp;L99&amp;"."</f>
        <v>We can conclude that the contamination measurements are lower after use of the new soap.</v>
      </c>
      <c r="T112" s="54"/>
      <c r="U112" s="54"/>
      <c r="V112" s="54"/>
      <c r="W112" s="54"/>
    </row>
    <row r="113" spans="2:23">
      <c r="D113" s="37" t="s">
        <v>103</v>
      </c>
      <c r="E113" s="37"/>
      <c r="F113" s="37"/>
      <c r="G113" s="37"/>
      <c r="H113" s="37"/>
      <c r="S113" s="54"/>
      <c r="T113" s="54"/>
      <c r="U113" s="54"/>
      <c r="V113" s="54"/>
      <c r="W113" s="54"/>
    </row>
    <row r="114" spans="2:23">
      <c r="E114" s="37"/>
      <c r="F114" s="37"/>
      <c r="G114" s="37"/>
      <c r="H114" s="37"/>
      <c r="S114" s="54"/>
      <c r="T114" s="54"/>
      <c r="U114" s="54"/>
      <c r="V114" s="54"/>
      <c r="W114" s="54"/>
    </row>
    <row r="115" spans="2:23">
      <c r="D115" s="37" t="s">
        <v>145</v>
      </c>
      <c r="S115" s="54"/>
      <c r="T115" s="54"/>
      <c r="U115" s="54"/>
      <c r="V115" s="54"/>
      <c r="W115" s="54"/>
    </row>
    <row r="116" spans="2:23">
      <c r="D116" s="37" t="s">
        <v>103</v>
      </c>
    </row>
    <row r="117" spans="2:23">
      <c r="F117" s="16">
        <f>SUM(Table134[Difference (d) *])</f>
        <v>24.9</v>
      </c>
      <c r="G117" s="36">
        <f>SUM(Table134[(d - dbar)])</f>
        <v>0</v>
      </c>
      <c r="H117" s="36">
        <f>SUM(Table134[(d - dbar)^2])</f>
        <v>59.328749999999992</v>
      </c>
      <c r="R117" s="9"/>
    </row>
    <row r="118" spans="2:23">
      <c r="B118" s="16"/>
      <c r="C118" s="35" t="s">
        <v>135</v>
      </c>
      <c r="D118" s="35" t="s">
        <v>76</v>
      </c>
      <c r="E118" s="35" t="s">
        <v>77</v>
      </c>
      <c r="F118" s="43" t="s">
        <v>105</v>
      </c>
      <c r="G118" s="1" t="s">
        <v>92</v>
      </c>
      <c r="H118" s="1" t="s">
        <v>93</v>
      </c>
      <c r="I118" s="16"/>
    </row>
    <row r="119" spans="2:23">
      <c r="B119" s="16"/>
      <c r="C119" s="4" t="s">
        <v>148</v>
      </c>
      <c r="D119" s="50">
        <v>6.6</v>
      </c>
      <c r="E119" s="50">
        <v>6.8</v>
      </c>
      <c r="F119">
        <f>Table134[[#This Row],[Before]]-Table134[[#This Row],[After]]</f>
        <v>-0.20000000000000018</v>
      </c>
      <c r="G119" s="30">
        <f>Table134[[#This Row],[Difference (d) *]]-(SUM(Table134[Difference (d) *])/COUNT(Table134[Difference (d) *]))</f>
        <v>-3.3125</v>
      </c>
      <c r="H119" s="30">
        <f>Table134[[#This Row],[(d - dbar)]]^2</f>
        <v>10.97265625</v>
      </c>
      <c r="I119" s="16"/>
    </row>
    <row r="120" spans="2:23">
      <c r="B120" s="16"/>
      <c r="C120" s="4" t="s">
        <v>149</v>
      </c>
      <c r="D120" s="50">
        <v>6.5</v>
      </c>
      <c r="E120" s="50">
        <v>2.4</v>
      </c>
      <c r="F120">
        <f>Table134[[#This Row],[Before]]-Table134[[#This Row],[After]]</f>
        <v>4.0999999999999996</v>
      </c>
      <c r="G120" s="30">
        <f>Table134[[#This Row],[Difference (d) *]]-(SUM(Table134[Difference (d) *])/COUNT(Table134[Difference (d) *]))</f>
        <v>0.98749999999999982</v>
      </c>
      <c r="H120" s="30">
        <f>Table134[[#This Row],[(d - dbar)]]^2</f>
        <v>0.97515624999999961</v>
      </c>
      <c r="I120" s="16"/>
    </row>
    <row r="121" spans="2:23">
      <c r="B121" s="16"/>
      <c r="C121" s="4" t="s">
        <v>150</v>
      </c>
      <c r="D121" s="50">
        <v>9</v>
      </c>
      <c r="E121" s="50">
        <v>7.4</v>
      </c>
      <c r="F121">
        <f>Table134[[#This Row],[Before]]-Table134[[#This Row],[After]]</f>
        <v>1.5999999999999996</v>
      </c>
      <c r="G121" s="30">
        <f>Table134[[#This Row],[Difference (d) *]]-(SUM(Table134[Difference (d) *])/COUNT(Table134[Difference (d) *]))</f>
        <v>-1.5125000000000002</v>
      </c>
      <c r="H121" s="30">
        <f>Table134[[#This Row],[(d - dbar)]]^2</f>
        <v>2.2876562500000004</v>
      </c>
      <c r="I121" s="16"/>
    </row>
    <row r="122" spans="2:23">
      <c r="C122" s="4" t="s">
        <v>151</v>
      </c>
      <c r="D122" s="50">
        <v>10.3</v>
      </c>
      <c r="E122" s="50">
        <v>8.5</v>
      </c>
      <c r="F122">
        <f>Table134[[#This Row],[Before]]-Table134[[#This Row],[After]]</f>
        <v>1.8000000000000007</v>
      </c>
      <c r="G122" s="30">
        <f>Table134[[#This Row],[Difference (d) *]]-(SUM(Table134[Difference (d) *])/COUNT(Table134[Difference (d) *]))</f>
        <v>-1.3124999999999991</v>
      </c>
      <c r="H122" s="30">
        <f>Table134[[#This Row],[(d - dbar)]]^2</f>
        <v>1.7226562499999978</v>
      </c>
    </row>
    <row r="123" spans="2:23">
      <c r="C123" s="4" t="s">
        <v>152</v>
      </c>
      <c r="D123" s="50">
        <v>11.2</v>
      </c>
      <c r="E123" s="50">
        <v>8.1</v>
      </c>
      <c r="F123">
        <f>Table134[[#This Row],[Before]]-Table134[[#This Row],[After]]</f>
        <v>3.0999999999999996</v>
      </c>
      <c r="G123" s="30">
        <f>Table134[[#This Row],[Difference (d) *]]-(SUM(Table134[Difference (d) *])/COUNT(Table134[Difference (d) *]))</f>
        <v>-1.2500000000000178E-2</v>
      </c>
      <c r="H123" s="30">
        <f>Table134[[#This Row],[(d - dbar)]]^2</f>
        <v>1.5625000000000445E-4</v>
      </c>
    </row>
    <row r="124" spans="2:23">
      <c r="C124" s="4" t="s">
        <v>153</v>
      </c>
      <c r="D124" s="50">
        <v>8.1</v>
      </c>
      <c r="E124" s="50">
        <v>6.1</v>
      </c>
      <c r="F124">
        <f>Table134[[#This Row],[Before]]-Table134[[#This Row],[After]]</f>
        <v>2</v>
      </c>
      <c r="G124" s="30">
        <f>Table134[[#This Row],[Difference (d) *]]-(SUM(Table134[Difference (d) *])/COUNT(Table134[Difference (d) *]))</f>
        <v>-1.1124999999999998</v>
      </c>
      <c r="H124" s="30">
        <f>Table134[[#This Row],[(d - dbar)]]^2</f>
        <v>1.2376562499999997</v>
      </c>
    </row>
    <row r="125" spans="2:23">
      <c r="C125" s="4" t="s">
        <v>154</v>
      </c>
      <c r="D125" s="50">
        <v>6.3</v>
      </c>
      <c r="E125" s="50">
        <v>3.4</v>
      </c>
      <c r="F125">
        <f>Table134[[#This Row],[Before]]-Table134[[#This Row],[After]]</f>
        <v>2.9</v>
      </c>
      <c r="G125" s="30">
        <f>Table134[[#This Row],[Difference (d) *]]-(SUM(Table134[Difference (d) *])/COUNT(Table134[Difference (d) *]))</f>
        <v>-0.21249999999999991</v>
      </c>
      <c r="H125" s="30">
        <f>Table134[[#This Row],[(d - dbar)]]^2</f>
        <v>4.515624999999996E-2</v>
      </c>
    </row>
    <row r="126" spans="2:23">
      <c r="C126" s="4" t="s">
        <v>155</v>
      </c>
      <c r="D126" s="50">
        <v>11.6</v>
      </c>
      <c r="E126" s="50">
        <v>2</v>
      </c>
      <c r="F126">
        <f>Table134[[#This Row],[Before]]-Table134[[#This Row],[After]]</f>
        <v>9.6</v>
      </c>
      <c r="G126" s="30">
        <f>Table134[[#This Row],[Difference (d) *]]-(SUM(Table134[Difference (d) *])/COUNT(Table134[Difference (d) *]))</f>
        <v>6.4874999999999998</v>
      </c>
      <c r="H126" s="30">
        <f>Table134[[#This Row],[(d - dbar)]]^2</f>
        <v>42.087656249999995</v>
      </c>
    </row>
  </sheetData>
  <mergeCells count="10">
    <mergeCell ref="L13:P13"/>
    <mergeCell ref="S26:W29"/>
    <mergeCell ref="B2:I17"/>
    <mergeCell ref="S112:W115"/>
    <mergeCell ref="B88:I93"/>
    <mergeCell ref="B95:I96"/>
    <mergeCell ref="B47:I62"/>
    <mergeCell ref="L58:P58"/>
    <mergeCell ref="S71:W74"/>
    <mergeCell ref="L99:P99"/>
  </mergeCell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2-sampleHypoTest BothSigmaKnown</vt:lpstr>
      <vt:lpstr>2-sampleHypoTest UnknownSigmas</vt:lpstr>
      <vt:lpstr>2-sampleHypoTest UnequalSigma</vt:lpstr>
      <vt:lpstr>2-sampleHypoTest DependentSampl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2020-10-26T23:28:57Z</dcterms:created>
  <dcterms:modified xsi:type="dcterms:W3CDTF">2020-11-18T17:32:10Z</dcterms:modified>
</cp:coreProperties>
</file>